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tirrell/Dropbox/Bayside Maine/NVC Website/Website Content/Committees/Utilities Committee/2024/Jan 19 Meeting/Advance Docs/"/>
    </mc:Choice>
  </mc:AlternateContent>
  <xr:revisionPtr revIDLastSave="0" documentId="8_{544C6485-F341-AA47-AA62-054735502867}" xr6:coauthVersionLast="47" xr6:coauthVersionMax="47" xr10:uidLastSave="{00000000-0000-0000-0000-000000000000}"/>
  <bookViews>
    <workbookView xWindow="3780" yWindow="960" windowWidth="25020" windowHeight="15000" activeTab="2" xr2:uid="{00000000-000D-0000-FFFF-FFFF00000000}"/>
  </bookViews>
  <sheets>
    <sheet name="Budget vs. Actuals" sheetId="1" r:id="rId1"/>
    <sheet name="2024 Water Budget" sheetId="2" r:id="rId2"/>
    <sheet name="2024 Sewer Budget" sheetId="3" r:id="rId3"/>
  </sheets>
  <definedNames>
    <definedName name="_xlnm.Print_Area" localSheetId="2">'2024 Sewer Budget'!$A:$G</definedName>
    <definedName name="_xlnm.Print_Area" localSheetId="1">'2024 Water Budget'!$A:$F</definedName>
    <definedName name="_xlnm.Print_Titles" localSheetId="2">'2024 Sewer Budget'!$4:$4</definedName>
    <definedName name="_xlnm.Print_Titles" localSheetId="1">'2024 Water Budget'!$6:$6</definedName>
    <definedName name="_xlnm.Print_Titles" localSheetId="0">'Budget vs. Actuals'!$5:$6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H30" i="3"/>
  <c r="H31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60" i="3"/>
  <c r="H161" i="3"/>
  <c r="H162" i="3"/>
  <c r="H163" i="3"/>
  <c r="H164" i="3"/>
  <c r="H165" i="3"/>
  <c r="H166" i="3"/>
  <c r="H167" i="3"/>
  <c r="H168" i="3"/>
  <c r="H169" i="3"/>
  <c r="H28" i="3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25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10" i="2"/>
  <c r="B24" i="2"/>
  <c r="C24" i="2"/>
  <c r="D24" i="2"/>
  <c r="E24" i="2"/>
  <c r="B23" i="2"/>
  <c r="C23" i="2"/>
  <c r="D23" i="2"/>
  <c r="E23" i="2"/>
  <c r="F23" i="2"/>
  <c r="F19" i="2"/>
  <c r="F24" i="2" s="1"/>
  <c r="F121" i="2"/>
  <c r="B97" i="2"/>
  <c r="D97" i="2"/>
  <c r="E97" i="2"/>
  <c r="F97" i="2"/>
  <c r="B110" i="2"/>
  <c r="C110" i="2"/>
  <c r="D110" i="2"/>
  <c r="E110" i="2"/>
  <c r="F110" i="2"/>
  <c r="E110" i="3"/>
  <c r="B110" i="3"/>
  <c r="C110" i="3"/>
  <c r="D110" i="3"/>
  <c r="F110" i="3"/>
  <c r="F160" i="3" l="1"/>
  <c r="F141" i="3"/>
  <c r="F129" i="3"/>
  <c r="F130" i="3" s="1"/>
  <c r="B130" i="3"/>
  <c r="C130" i="3"/>
  <c r="E97" i="3"/>
  <c r="F97" i="3"/>
  <c r="F69" i="3"/>
  <c r="F157" i="2" l="1"/>
  <c r="B140" i="2" l="1"/>
  <c r="F140" i="2"/>
  <c r="F75" i="2"/>
  <c r="F84" i="2"/>
  <c r="E140" i="2"/>
  <c r="D140" i="2"/>
  <c r="C140" i="2"/>
  <c r="F123" i="2"/>
  <c r="E123" i="2"/>
  <c r="D123" i="2"/>
  <c r="C123" i="2"/>
  <c r="B123" i="2"/>
  <c r="E121" i="2"/>
  <c r="D121" i="2"/>
  <c r="C121" i="2"/>
  <c r="B121" i="2"/>
  <c r="F88" i="2"/>
  <c r="E88" i="2"/>
  <c r="D88" i="2"/>
  <c r="E84" i="2"/>
  <c r="D84" i="2"/>
  <c r="C84" i="2"/>
  <c r="B84" i="2"/>
  <c r="F78" i="2"/>
  <c r="E78" i="2"/>
  <c r="D78" i="2"/>
  <c r="C78" i="2"/>
  <c r="B78" i="2"/>
  <c r="E75" i="2" l="1"/>
  <c r="D75" i="2"/>
  <c r="C75" i="2"/>
  <c r="B75" i="2"/>
  <c r="F62" i="2"/>
  <c r="F79" i="2" s="1"/>
  <c r="E62" i="2"/>
  <c r="D62" i="2"/>
  <c r="C62" i="2"/>
  <c r="B62" i="2"/>
  <c r="E56" i="2"/>
  <c r="D56" i="2"/>
  <c r="B56" i="2"/>
  <c r="C56" i="2"/>
  <c r="F54" i="2"/>
  <c r="E54" i="2"/>
  <c r="D54" i="2"/>
  <c r="F50" i="2"/>
  <c r="E50" i="2"/>
  <c r="D50" i="2"/>
  <c r="C50" i="2"/>
  <c r="F44" i="2"/>
  <c r="E44" i="2"/>
  <c r="D44" i="2"/>
  <c r="C44" i="2"/>
  <c r="B44" i="2"/>
  <c r="F38" i="2"/>
  <c r="F45" i="2" s="1"/>
  <c r="E38" i="2"/>
  <c r="E45" i="2" s="1"/>
  <c r="D38" i="2"/>
  <c r="D45" i="2" s="1"/>
  <c r="C38" i="2"/>
  <c r="C45" i="2" s="1"/>
  <c r="B38" i="2"/>
  <c r="B45" i="2" s="1"/>
  <c r="F28" i="2"/>
  <c r="F29" i="2" s="1"/>
  <c r="E28" i="2"/>
  <c r="E29" i="2" s="1"/>
  <c r="D28" i="2"/>
  <c r="D29" i="2" s="1"/>
  <c r="C28" i="2"/>
  <c r="B28" i="2"/>
  <c r="F16" i="2"/>
  <c r="E16" i="2"/>
  <c r="E19" i="2" s="1"/>
  <c r="D16" i="2"/>
  <c r="D19" i="2" s="1"/>
  <c r="E69" i="3"/>
  <c r="D69" i="3"/>
  <c r="B69" i="3"/>
  <c r="F167" i="3"/>
  <c r="E160" i="3"/>
  <c r="D160" i="3"/>
  <c r="C160" i="3"/>
  <c r="B160" i="3"/>
  <c r="E141" i="3"/>
  <c r="D141" i="3"/>
  <c r="C141" i="3"/>
  <c r="B141" i="3"/>
  <c r="F117" i="3"/>
  <c r="E117" i="3"/>
  <c r="D117" i="3"/>
  <c r="C117" i="3"/>
  <c r="B117" i="3"/>
  <c r="F105" i="3"/>
  <c r="E105" i="3"/>
  <c r="D105" i="3"/>
  <c r="C105" i="3"/>
  <c r="B105" i="3"/>
  <c r="D97" i="3"/>
  <c r="C97" i="3"/>
  <c r="B97" i="3"/>
  <c r="F84" i="3"/>
  <c r="F100" i="3" s="1"/>
  <c r="E84" i="3"/>
  <c r="E100" i="3" s="1"/>
  <c r="D84" i="3"/>
  <c r="C84" i="3"/>
  <c r="B84" i="3"/>
  <c r="F74" i="3"/>
  <c r="F78" i="3" s="1"/>
  <c r="E74" i="3"/>
  <c r="E78" i="3" s="1"/>
  <c r="D74" i="3"/>
  <c r="D78" i="3" s="1"/>
  <c r="C74" i="3"/>
  <c r="B74" i="3"/>
  <c r="B78" i="3" s="1"/>
  <c r="F63" i="3"/>
  <c r="F70" i="3" s="1"/>
  <c r="E63" i="3"/>
  <c r="D63" i="3"/>
  <c r="C63" i="3"/>
  <c r="B63" i="3"/>
  <c r="F30" i="3"/>
  <c r="F34" i="3" s="1"/>
  <c r="E30" i="3"/>
  <c r="D30" i="3"/>
  <c r="C30" i="3"/>
  <c r="C34" i="3" s="1"/>
  <c r="B30" i="3"/>
  <c r="E166" i="3"/>
  <c r="D166" i="3"/>
  <c r="C165" i="3"/>
  <c r="C167" i="3" s="1"/>
  <c r="E164" i="3"/>
  <c r="B164" i="3"/>
  <c r="E157" i="3"/>
  <c r="D157" i="3"/>
  <c r="E156" i="3"/>
  <c r="D156" i="3"/>
  <c r="E155" i="3"/>
  <c r="D155" i="3"/>
  <c r="E154" i="3"/>
  <c r="D154" i="3"/>
  <c r="E149" i="3"/>
  <c r="D149" i="3"/>
  <c r="E148" i="3"/>
  <c r="D148" i="3"/>
  <c r="E145" i="3"/>
  <c r="E138" i="3"/>
  <c r="D138" i="3"/>
  <c r="E133" i="3"/>
  <c r="E128" i="3"/>
  <c r="D128" i="3"/>
  <c r="E126" i="3"/>
  <c r="D126" i="3"/>
  <c r="E124" i="3"/>
  <c r="D124" i="3"/>
  <c r="E123" i="3"/>
  <c r="D123" i="3"/>
  <c r="E120" i="3"/>
  <c r="E119" i="3"/>
  <c r="D119" i="3"/>
  <c r="E118" i="3"/>
  <c r="E109" i="3"/>
  <c r="E106" i="3"/>
  <c r="E102" i="3"/>
  <c r="D102" i="3"/>
  <c r="E101" i="3"/>
  <c r="E96" i="3"/>
  <c r="E95" i="3"/>
  <c r="E94" i="3"/>
  <c r="E91" i="3"/>
  <c r="E89" i="3"/>
  <c r="E88" i="3"/>
  <c r="E85" i="3"/>
  <c r="E81" i="3"/>
  <c r="E80" i="3"/>
  <c r="E79" i="3"/>
  <c r="C77" i="3"/>
  <c r="E71" i="3"/>
  <c r="E68" i="3"/>
  <c r="D68" i="3"/>
  <c r="C67" i="3"/>
  <c r="C69" i="3" s="1"/>
  <c r="E62" i="3"/>
  <c r="D62" i="3"/>
  <c r="E61" i="3"/>
  <c r="D61" i="3"/>
  <c r="E60" i="3"/>
  <c r="E58" i="3"/>
  <c r="E57" i="3"/>
  <c r="C53" i="3"/>
  <c r="C54" i="3" s="1"/>
  <c r="E54" i="3" s="1"/>
  <c r="B53" i="3"/>
  <c r="E52" i="3"/>
  <c r="D52" i="3"/>
  <c r="E51" i="3"/>
  <c r="D51" i="3"/>
  <c r="C46" i="3"/>
  <c r="E46" i="3" s="1"/>
  <c r="B46" i="3"/>
  <c r="E45" i="3"/>
  <c r="D45" i="3"/>
  <c r="E44" i="3"/>
  <c r="D44" i="3"/>
  <c r="E42" i="3"/>
  <c r="D42" i="3"/>
  <c r="C41" i="3"/>
  <c r="C43" i="3" s="1"/>
  <c r="E43" i="3" s="1"/>
  <c r="B41" i="3"/>
  <c r="B43" i="3" s="1"/>
  <c r="E40" i="3"/>
  <c r="D40" i="3"/>
  <c r="E39" i="3"/>
  <c r="D39" i="3"/>
  <c r="E38" i="3"/>
  <c r="D38" i="3"/>
  <c r="E37" i="3"/>
  <c r="D37" i="3"/>
  <c r="E36" i="3"/>
  <c r="D36" i="3"/>
  <c r="E35" i="3"/>
  <c r="D35" i="3"/>
  <c r="E31" i="3"/>
  <c r="E27" i="3"/>
  <c r="E26" i="3"/>
  <c r="C23" i="3"/>
  <c r="E23" i="3" s="1"/>
  <c r="B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4" i="3"/>
  <c r="D14" i="3"/>
  <c r="E13" i="3"/>
  <c r="D13" i="3"/>
  <c r="C12" i="3"/>
  <c r="C15" i="3" s="1"/>
  <c r="B12" i="3"/>
  <c r="B15" i="3" s="1"/>
  <c r="E11" i="3"/>
  <c r="D11" i="3"/>
  <c r="E10" i="3"/>
  <c r="D10" i="3"/>
  <c r="E9" i="3"/>
  <c r="D9" i="3"/>
  <c r="E8" i="3"/>
  <c r="D8" i="3"/>
  <c r="E7" i="3"/>
  <c r="D7" i="3"/>
  <c r="E6" i="3"/>
  <c r="B147" i="2"/>
  <c r="B148" i="2" s="1"/>
  <c r="E146" i="2"/>
  <c r="D146" i="2"/>
  <c r="C145" i="2"/>
  <c r="E144" i="2"/>
  <c r="D144" i="2"/>
  <c r="E139" i="2"/>
  <c r="D139" i="2"/>
  <c r="E138" i="2"/>
  <c r="D138" i="2"/>
  <c r="E137" i="2"/>
  <c r="D137" i="2"/>
  <c r="E136" i="2"/>
  <c r="D136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5" i="2"/>
  <c r="E118" i="2"/>
  <c r="D118" i="2"/>
  <c r="E117" i="2"/>
  <c r="D117" i="2"/>
  <c r="E113" i="2"/>
  <c r="D113" i="2"/>
  <c r="E108" i="2"/>
  <c r="E107" i="2"/>
  <c r="E106" i="2"/>
  <c r="E105" i="2"/>
  <c r="E104" i="2"/>
  <c r="E103" i="2"/>
  <c r="C99" i="2"/>
  <c r="B99" i="2"/>
  <c r="C94" i="2"/>
  <c r="C97" i="2" s="1"/>
  <c r="C92" i="2"/>
  <c r="B92" i="2"/>
  <c r="E91" i="2"/>
  <c r="D91" i="2"/>
  <c r="E90" i="2"/>
  <c r="D90" i="2"/>
  <c r="E87" i="2"/>
  <c r="D87" i="2"/>
  <c r="E85" i="2"/>
  <c r="D85" i="2"/>
  <c r="E81" i="2"/>
  <c r="D81" i="2"/>
  <c r="E80" i="2"/>
  <c r="D80" i="2"/>
  <c r="E74" i="2"/>
  <c r="D74" i="2"/>
  <c r="E73" i="2"/>
  <c r="D73" i="2"/>
  <c r="E72" i="2"/>
  <c r="D72" i="2"/>
  <c r="E70" i="2"/>
  <c r="D70" i="2"/>
  <c r="E69" i="2"/>
  <c r="D69" i="2"/>
  <c r="E67" i="2"/>
  <c r="D67" i="2"/>
  <c r="E64" i="2"/>
  <c r="D64" i="2"/>
  <c r="E63" i="2"/>
  <c r="D63" i="2"/>
  <c r="E59" i="2"/>
  <c r="D59" i="2"/>
  <c r="E58" i="2"/>
  <c r="D58" i="2"/>
  <c r="E57" i="2"/>
  <c r="C54" i="2"/>
  <c r="B54" i="2"/>
  <c r="E52" i="2"/>
  <c r="D52" i="2"/>
  <c r="E51" i="2"/>
  <c r="D51" i="2"/>
  <c r="B50" i="2"/>
  <c r="E48" i="2"/>
  <c r="D48" i="2"/>
  <c r="E47" i="2"/>
  <c r="D47" i="2"/>
  <c r="E46" i="2"/>
  <c r="D46" i="2"/>
  <c r="E42" i="2"/>
  <c r="D42" i="2"/>
  <c r="E41" i="2"/>
  <c r="D41" i="2"/>
  <c r="E37" i="2"/>
  <c r="D37" i="2"/>
  <c r="E36" i="2"/>
  <c r="D36" i="2"/>
  <c r="E35" i="2"/>
  <c r="D35" i="2"/>
  <c r="E33" i="2"/>
  <c r="E32" i="2"/>
  <c r="E26" i="2"/>
  <c r="E20" i="2"/>
  <c r="D20" i="2"/>
  <c r="E9" i="2"/>
  <c r="E8" i="2"/>
  <c r="AM186" i="1"/>
  <c r="AO186" i="1" s="1"/>
  <c r="AE186" i="1"/>
  <c r="AG186" i="1" s="1"/>
  <c r="G186" i="1"/>
  <c r="I186" i="1" s="1"/>
  <c r="AO185" i="1"/>
  <c r="AM185" i="1"/>
  <c r="AG185" i="1"/>
  <c r="AE185" i="1"/>
  <c r="AD185" i="1"/>
  <c r="AD186" i="1" s="1"/>
  <c r="AF186" i="1" s="1"/>
  <c r="Z185" i="1"/>
  <c r="S185" i="1"/>
  <c r="U185" i="1" s="1"/>
  <c r="R185" i="1"/>
  <c r="T185" i="1" s="1"/>
  <c r="Q185" i="1"/>
  <c r="I185" i="1"/>
  <c r="G185" i="1"/>
  <c r="F185" i="1"/>
  <c r="F186" i="1" s="1"/>
  <c r="H186" i="1" s="1"/>
  <c r="B185" i="1"/>
  <c r="AO184" i="1"/>
  <c r="AL184" i="1"/>
  <c r="AN184" i="1" s="1"/>
  <c r="AK184" i="1"/>
  <c r="AJ184" i="1"/>
  <c r="AI184" i="1"/>
  <c r="AH184" i="1"/>
  <c r="AG184" i="1"/>
  <c r="AF184" i="1"/>
  <c r="AC184" i="1"/>
  <c r="AB184" i="1"/>
  <c r="Y184" i="1"/>
  <c r="X184" i="1"/>
  <c r="W184" i="1"/>
  <c r="V184" i="1"/>
  <c r="U184" i="1"/>
  <c r="T184" i="1"/>
  <c r="Q184" i="1"/>
  <c r="P184" i="1"/>
  <c r="M184" i="1"/>
  <c r="L184" i="1"/>
  <c r="K184" i="1"/>
  <c r="AQ184" i="1" s="1"/>
  <c r="AS184" i="1" s="1"/>
  <c r="J184" i="1"/>
  <c r="I184" i="1"/>
  <c r="H184" i="1"/>
  <c r="E184" i="1"/>
  <c r="D184" i="1"/>
  <c r="AO183" i="1"/>
  <c r="AN183" i="1"/>
  <c r="AH183" i="1"/>
  <c r="AG183" i="1"/>
  <c r="AF183" i="1"/>
  <c r="AA183" i="1"/>
  <c r="W183" i="1"/>
  <c r="Y183" i="1" s="1"/>
  <c r="V183" i="1"/>
  <c r="X183" i="1" s="1"/>
  <c r="U183" i="1"/>
  <c r="T183" i="1"/>
  <c r="Q183" i="1"/>
  <c r="P183" i="1"/>
  <c r="O183" i="1"/>
  <c r="O185" i="1" s="1"/>
  <c r="L183" i="1"/>
  <c r="K183" i="1"/>
  <c r="M183" i="1" s="1"/>
  <c r="J183" i="1"/>
  <c r="AP183" i="1" s="1"/>
  <c r="I183" i="1"/>
  <c r="H183" i="1"/>
  <c r="E183" i="1"/>
  <c r="C183" i="1"/>
  <c r="C185" i="1" s="1"/>
  <c r="AP182" i="1"/>
  <c r="AO182" i="1"/>
  <c r="AN182" i="1"/>
  <c r="AI182" i="1"/>
  <c r="AK182" i="1" s="1"/>
  <c r="AH182" i="1"/>
  <c r="AG182" i="1"/>
  <c r="AF182" i="1"/>
  <c r="AC182" i="1"/>
  <c r="AB182" i="1"/>
  <c r="W182" i="1"/>
  <c r="Y182" i="1" s="1"/>
  <c r="V182" i="1"/>
  <c r="X182" i="1" s="1"/>
  <c r="U182" i="1"/>
  <c r="T182" i="1"/>
  <c r="Q182" i="1"/>
  <c r="P182" i="1"/>
  <c r="N182" i="1"/>
  <c r="N185" i="1" s="1"/>
  <c r="L182" i="1"/>
  <c r="K182" i="1"/>
  <c r="M182" i="1" s="1"/>
  <c r="J182" i="1"/>
  <c r="I182" i="1"/>
  <c r="H182" i="1"/>
  <c r="E182" i="1"/>
  <c r="D182" i="1"/>
  <c r="AM178" i="1"/>
  <c r="AO178" i="1" s="1"/>
  <c r="AL178" i="1"/>
  <c r="AE178" i="1"/>
  <c r="AG178" i="1" s="1"/>
  <c r="AD178" i="1"/>
  <c r="W178" i="1"/>
  <c r="T178" i="1"/>
  <c r="S178" i="1"/>
  <c r="U178" i="1" s="1"/>
  <c r="R178" i="1"/>
  <c r="O178" i="1"/>
  <c r="G178" i="1"/>
  <c r="I178" i="1" s="1"/>
  <c r="AO177" i="1"/>
  <c r="AN177" i="1"/>
  <c r="AK177" i="1"/>
  <c r="AI177" i="1"/>
  <c r="AH177" i="1"/>
  <c r="AJ177" i="1" s="1"/>
  <c r="AG177" i="1"/>
  <c r="AF177" i="1"/>
  <c r="AC177" i="1"/>
  <c r="AB177" i="1"/>
  <c r="Y177" i="1"/>
  <c r="W177" i="1"/>
  <c r="V177" i="1"/>
  <c r="X177" i="1" s="1"/>
  <c r="U177" i="1"/>
  <c r="T177" i="1"/>
  <c r="Q177" i="1"/>
  <c r="P177" i="1"/>
  <c r="J177" i="1"/>
  <c r="I177" i="1"/>
  <c r="H177" i="1"/>
  <c r="D177" i="1"/>
  <c r="C177" i="1"/>
  <c r="E177" i="1" s="1"/>
  <c r="B177" i="1"/>
  <c r="AO176" i="1"/>
  <c r="AN176" i="1"/>
  <c r="AK176" i="1"/>
  <c r="AI176" i="1"/>
  <c r="AH176" i="1"/>
  <c r="AJ176" i="1" s="1"/>
  <c r="AG176" i="1"/>
  <c r="AF176" i="1"/>
  <c r="AC176" i="1"/>
  <c r="AB176" i="1"/>
  <c r="Y176" i="1"/>
  <c r="W176" i="1"/>
  <c r="V176" i="1"/>
  <c r="X176" i="1" s="1"/>
  <c r="U176" i="1"/>
  <c r="T176" i="1"/>
  <c r="Q176" i="1"/>
  <c r="P176" i="1"/>
  <c r="J176" i="1"/>
  <c r="I176" i="1"/>
  <c r="H176" i="1"/>
  <c r="D176" i="1"/>
  <c r="C176" i="1"/>
  <c r="E176" i="1" s="1"/>
  <c r="B176" i="1"/>
  <c r="AO175" i="1"/>
  <c r="AN175" i="1"/>
  <c r="AK175" i="1"/>
  <c r="AI175" i="1"/>
  <c r="AH175" i="1"/>
  <c r="AJ175" i="1" s="1"/>
  <c r="AG175" i="1"/>
  <c r="AF175" i="1"/>
  <c r="AC175" i="1"/>
  <c r="AB175" i="1"/>
  <c r="Y175" i="1"/>
  <c r="W175" i="1"/>
  <c r="V175" i="1"/>
  <c r="X175" i="1" s="1"/>
  <c r="U175" i="1"/>
  <c r="T175" i="1"/>
  <c r="Q175" i="1"/>
  <c r="P175" i="1"/>
  <c r="J175" i="1"/>
  <c r="I175" i="1"/>
  <c r="F175" i="1"/>
  <c r="H175" i="1" s="1"/>
  <c r="E175" i="1"/>
  <c r="D175" i="1"/>
  <c r="C175" i="1"/>
  <c r="K175" i="1" s="1"/>
  <c r="AO174" i="1"/>
  <c r="AN174" i="1"/>
  <c r="AK174" i="1"/>
  <c r="AI174" i="1"/>
  <c r="AH174" i="1"/>
  <c r="AJ174" i="1" s="1"/>
  <c r="AG174" i="1"/>
  <c r="AF174" i="1"/>
  <c r="AC174" i="1"/>
  <c r="AB174" i="1"/>
  <c r="Y174" i="1"/>
  <c r="W174" i="1"/>
  <c r="V174" i="1"/>
  <c r="X174" i="1" s="1"/>
  <c r="U174" i="1"/>
  <c r="T174" i="1"/>
  <c r="Q174" i="1"/>
  <c r="P174" i="1"/>
  <c r="J174" i="1"/>
  <c r="I174" i="1"/>
  <c r="F174" i="1"/>
  <c r="F178" i="1" s="1"/>
  <c r="H178" i="1" s="1"/>
  <c r="E174" i="1"/>
  <c r="D174" i="1"/>
  <c r="C174" i="1"/>
  <c r="K174" i="1" s="1"/>
  <c r="AO173" i="1"/>
  <c r="AN173" i="1"/>
  <c r="AH173" i="1"/>
  <c r="AG173" i="1"/>
  <c r="AF173" i="1"/>
  <c r="AB173" i="1"/>
  <c r="AA173" i="1"/>
  <c r="AC173" i="1" s="1"/>
  <c r="Z173" i="1"/>
  <c r="Z178" i="1" s="1"/>
  <c r="AH178" i="1" s="1"/>
  <c r="W173" i="1"/>
  <c r="U173" i="1"/>
  <c r="T173" i="1"/>
  <c r="O173" i="1"/>
  <c r="N173" i="1"/>
  <c r="J173" i="1"/>
  <c r="I173" i="1"/>
  <c r="H173" i="1"/>
  <c r="C173" i="1"/>
  <c r="B173" i="1"/>
  <c r="AO172" i="1"/>
  <c r="AN172" i="1"/>
  <c r="AH172" i="1"/>
  <c r="AG172" i="1"/>
  <c r="AF172" i="1"/>
  <c r="AB172" i="1"/>
  <c r="AA172" i="1"/>
  <c r="Z172" i="1"/>
  <c r="W172" i="1"/>
  <c r="U172" i="1"/>
  <c r="T172" i="1"/>
  <c r="Q172" i="1"/>
  <c r="O172" i="1"/>
  <c r="N172" i="1"/>
  <c r="J172" i="1"/>
  <c r="I172" i="1"/>
  <c r="H172" i="1"/>
  <c r="D172" i="1"/>
  <c r="C172" i="1"/>
  <c r="E172" i="1" s="1"/>
  <c r="B172" i="1"/>
  <c r="AO171" i="1"/>
  <c r="AN171" i="1"/>
  <c r="AK171" i="1"/>
  <c r="AI171" i="1"/>
  <c r="AH171" i="1"/>
  <c r="AJ171" i="1" s="1"/>
  <c r="AG171" i="1"/>
  <c r="AF171" i="1"/>
  <c r="AC171" i="1"/>
  <c r="AB171" i="1"/>
  <c r="V171" i="1"/>
  <c r="U171" i="1"/>
  <c r="T171" i="1"/>
  <c r="P171" i="1"/>
  <c r="O171" i="1"/>
  <c r="Q171" i="1" s="1"/>
  <c r="N171" i="1"/>
  <c r="L171" i="1"/>
  <c r="K171" i="1"/>
  <c r="M171" i="1" s="1"/>
  <c r="J171" i="1"/>
  <c r="I171" i="1"/>
  <c r="H171" i="1"/>
  <c r="E171" i="1"/>
  <c r="D171" i="1"/>
  <c r="AO170" i="1"/>
  <c r="AN170" i="1"/>
  <c r="AK170" i="1"/>
  <c r="AI170" i="1"/>
  <c r="AH170" i="1"/>
  <c r="AJ170" i="1" s="1"/>
  <c r="AG170" i="1"/>
  <c r="AF170" i="1"/>
  <c r="AC170" i="1"/>
  <c r="AB170" i="1"/>
  <c r="V170" i="1"/>
  <c r="U170" i="1"/>
  <c r="T170" i="1"/>
  <c r="P170" i="1"/>
  <c r="O170" i="1"/>
  <c r="Q170" i="1" s="1"/>
  <c r="N170" i="1"/>
  <c r="L170" i="1"/>
  <c r="K170" i="1"/>
  <c r="M170" i="1" s="1"/>
  <c r="J170" i="1"/>
  <c r="I170" i="1"/>
  <c r="H170" i="1"/>
  <c r="E170" i="1"/>
  <c r="D170" i="1"/>
  <c r="AO169" i="1"/>
  <c r="AN169" i="1"/>
  <c r="AK169" i="1"/>
  <c r="AI169" i="1"/>
  <c r="AH169" i="1"/>
  <c r="AJ169" i="1" s="1"/>
  <c r="AG169" i="1"/>
  <c r="AF169" i="1"/>
  <c r="AC169" i="1"/>
  <c r="AB169" i="1"/>
  <c r="Y169" i="1"/>
  <c r="W169" i="1"/>
  <c r="V169" i="1"/>
  <c r="X169" i="1" s="1"/>
  <c r="U169" i="1"/>
  <c r="T169" i="1"/>
  <c r="Q169" i="1"/>
  <c r="P169" i="1"/>
  <c r="J169" i="1"/>
  <c r="I169" i="1"/>
  <c r="H169" i="1"/>
  <c r="D169" i="1"/>
  <c r="C169" i="1"/>
  <c r="E169" i="1" s="1"/>
  <c r="B169" i="1"/>
  <c r="AO168" i="1"/>
  <c r="AN168" i="1"/>
  <c r="AK168" i="1"/>
  <c r="AI168" i="1"/>
  <c r="AH168" i="1"/>
  <c r="AJ168" i="1" s="1"/>
  <c r="AG168" i="1"/>
  <c r="AF168" i="1"/>
  <c r="AC168" i="1"/>
  <c r="AB168" i="1"/>
  <c r="Y168" i="1"/>
  <c r="W168" i="1"/>
  <c r="V168" i="1"/>
  <c r="X168" i="1" s="1"/>
  <c r="U168" i="1"/>
  <c r="T168" i="1"/>
  <c r="Q168" i="1"/>
  <c r="P168" i="1"/>
  <c r="J168" i="1"/>
  <c r="I168" i="1"/>
  <c r="H168" i="1"/>
  <c r="D168" i="1"/>
  <c r="C168" i="1"/>
  <c r="E168" i="1" s="1"/>
  <c r="B168" i="1"/>
  <c r="B178" i="1" s="1"/>
  <c r="AO167" i="1"/>
  <c r="AN167" i="1"/>
  <c r="AK167" i="1"/>
  <c r="AI167" i="1"/>
  <c r="AH167" i="1"/>
  <c r="AJ167" i="1" s="1"/>
  <c r="AG167" i="1"/>
  <c r="AF167" i="1"/>
  <c r="AC167" i="1"/>
  <c r="AB167" i="1"/>
  <c r="V167" i="1"/>
  <c r="U167" i="1"/>
  <c r="T167" i="1"/>
  <c r="P167" i="1"/>
  <c r="O167" i="1"/>
  <c r="Q167" i="1" s="1"/>
  <c r="N167" i="1"/>
  <c r="L167" i="1"/>
  <c r="K167" i="1"/>
  <c r="M167" i="1" s="1"/>
  <c r="J167" i="1"/>
  <c r="I167" i="1"/>
  <c r="H167" i="1"/>
  <c r="E167" i="1"/>
  <c r="D167" i="1"/>
  <c r="AO166" i="1"/>
  <c r="AN166" i="1"/>
  <c r="AK166" i="1"/>
  <c r="AI166" i="1"/>
  <c r="AH166" i="1"/>
  <c r="AJ166" i="1" s="1"/>
  <c r="AG166" i="1"/>
  <c r="AF166" i="1"/>
  <c r="AC166" i="1"/>
  <c r="AB166" i="1"/>
  <c r="V166" i="1"/>
  <c r="U166" i="1"/>
  <c r="T166" i="1"/>
  <c r="P166" i="1"/>
  <c r="O166" i="1"/>
  <c r="Q166" i="1" s="1"/>
  <c r="N166" i="1"/>
  <c r="L166" i="1"/>
  <c r="K166" i="1"/>
  <c r="M166" i="1" s="1"/>
  <c r="J166" i="1"/>
  <c r="I166" i="1"/>
  <c r="H166" i="1"/>
  <c r="E166" i="1"/>
  <c r="D166" i="1"/>
  <c r="AQ165" i="1"/>
  <c r="AS165" i="1" s="1"/>
  <c r="AO165" i="1"/>
  <c r="AN165" i="1"/>
  <c r="AK165" i="1"/>
  <c r="AI165" i="1"/>
  <c r="AH165" i="1"/>
  <c r="AJ165" i="1" s="1"/>
  <c r="AG165" i="1"/>
  <c r="AF165" i="1"/>
  <c r="AC165" i="1"/>
  <c r="AB165" i="1"/>
  <c r="Y165" i="1"/>
  <c r="W165" i="1"/>
  <c r="V165" i="1"/>
  <c r="X165" i="1" s="1"/>
  <c r="U165" i="1"/>
  <c r="T165" i="1"/>
  <c r="Q165" i="1"/>
  <c r="P165" i="1"/>
  <c r="M165" i="1"/>
  <c r="K165" i="1"/>
  <c r="J165" i="1"/>
  <c r="I165" i="1"/>
  <c r="H165" i="1"/>
  <c r="E165" i="1"/>
  <c r="D165" i="1"/>
  <c r="AO163" i="1"/>
  <c r="AN163" i="1"/>
  <c r="AI163" i="1"/>
  <c r="AG163" i="1"/>
  <c r="AF163" i="1"/>
  <c r="AC163" i="1"/>
  <c r="Z163" i="1"/>
  <c r="AH163" i="1" s="1"/>
  <c r="Y163" i="1"/>
  <c r="W163" i="1"/>
  <c r="U163" i="1"/>
  <c r="T163" i="1"/>
  <c r="Q163" i="1"/>
  <c r="N163" i="1"/>
  <c r="M163" i="1"/>
  <c r="K163" i="1"/>
  <c r="I163" i="1"/>
  <c r="H163" i="1"/>
  <c r="E163" i="1"/>
  <c r="B163" i="1"/>
  <c r="J163" i="1" s="1"/>
  <c r="AO162" i="1"/>
  <c r="AN162" i="1"/>
  <c r="AG162" i="1"/>
  <c r="AF162" i="1"/>
  <c r="AD162" i="1"/>
  <c r="AH162" i="1" s="1"/>
  <c r="AA162" i="1"/>
  <c r="Z162" i="1"/>
  <c r="W162" i="1"/>
  <c r="U162" i="1"/>
  <c r="T162" i="1"/>
  <c r="Q162" i="1"/>
  <c r="O162" i="1"/>
  <c r="N162" i="1"/>
  <c r="M162" i="1"/>
  <c r="K162" i="1"/>
  <c r="J162" i="1"/>
  <c r="I162" i="1"/>
  <c r="H162" i="1"/>
  <c r="E162" i="1"/>
  <c r="D162" i="1"/>
  <c r="B162" i="1"/>
  <c r="AM161" i="1"/>
  <c r="AO161" i="1" s="1"/>
  <c r="AE161" i="1"/>
  <c r="AG161" i="1" s="1"/>
  <c r="AD161" i="1"/>
  <c r="S161" i="1"/>
  <c r="U161" i="1" s="1"/>
  <c r="R161" i="1"/>
  <c r="T161" i="1" s="1"/>
  <c r="G161" i="1"/>
  <c r="I161" i="1" s="1"/>
  <c r="F161" i="1"/>
  <c r="H161" i="1" s="1"/>
  <c r="AO160" i="1"/>
  <c r="AL160" i="1"/>
  <c r="AN160" i="1" s="1"/>
  <c r="AH160" i="1"/>
  <c r="AG160" i="1"/>
  <c r="AF160" i="1"/>
  <c r="AB160" i="1"/>
  <c r="AA160" i="1"/>
  <c r="Z160" i="1"/>
  <c r="W160" i="1"/>
  <c r="U160" i="1"/>
  <c r="T160" i="1"/>
  <c r="Q160" i="1"/>
  <c r="O160" i="1"/>
  <c r="N160" i="1"/>
  <c r="J160" i="1"/>
  <c r="I160" i="1"/>
  <c r="H160" i="1"/>
  <c r="C160" i="1"/>
  <c r="B160" i="1"/>
  <c r="AO159" i="1"/>
  <c r="AL159" i="1"/>
  <c r="AN159" i="1" s="1"/>
  <c r="AI159" i="1"/>
  <c r="AH159" i="1"/>
  <c r="AJ159" i="1" s="1"/>
  <c r="AG159" i="1"/>
  <c r="AF159" i="1"/>
  <c r="AC159" i="1"/>
  <c r="AB159" i="1"/>
  <c r="AA159" i="1"/>
  <c r="Z159" i="1"/>
  <c r="W159" i="1"/>
  <c r="U159" i="1"/>
  <c r="T159" i="1"/>
  <c r="O159" i="1"/>
  <c r="N159" i="1"/>
  <c r="K159" i="1"/>
  <c r="I159" i="1"/>
  <c r="H159" i="1"/>
  <c r="C159" i="1"/>
  <c r="E159" i="1" s="1"/>
  <c r="B159" i="1"/>
  <c r="AO158" i="1"/>
  <c r="AN158" i="1"/>
  <c r="AJ158" i="1"/>
  <c r="AI158" i="1"/>
  <c r="AK158" i="1" s="1"/>
  <c r="AH158" i="1"/>
  <c r="AG158" i="1"/>
  <c r="AF158" i="1"/>
  <c r="AC158" i="1"/>
  <c r="AB158" i="1"/>
  <c r="W158" i="1"/>
  <c r="Y158" i="1" s="1"/>
  <c r="V158" i="1"/>
  <c r="X158" i="1" s="1"/>
  <c r="U158" i="1"/>
  <c r="T158" i="1"/>
  <c r="Q158" i="1"/>
  <c r="P158" i="1"/>
  <c r="J158" i="1"/>
  <c r="I158" i="1"/>
  <c r="F158" i="1"/>
  <c r="H158" i="1" s="1"/>
  <c r="C158" i="1"/>
  <c r="B158" i="1"/>
  <c r="AO157" i="1"/>
  <c r="AN157" i="1"/>
  <c r="AI157" i="1"/>
  <c r="AK157" i="1" s="1"/>
  <c r="AH157" i="1"/>
  <c r="AG157" i="1"/>
  <c r="AF157" i="1"/>
  <c r="AC157" i="1"/>
  <c r="AB157" i="1"/>
  <c r="W157" i="1"/>
  <c r="U157" i="1"/>
  <c r="T157" i="1"/>
  <c r="O157" i="1"/>
  <c r="N157" i="1"/>
  <c r="M157" i="1"/>
  <c r="K157" i="1"/>
  <c r="I157" i="1"/>
  <c r="H157" i="1"/>
  <c r="E157" i="1"/>
  <c r="B157" i="1"/>
  <c r="AO156" i="1"/>
  <c r="AN156" i="1"/>
  <c r="AL156" i="1"/>
  <c r="AK156" i="1"/>
  <c r="AI156" i="1"/>
  <c r="AG156" i="1"/>
  <c r="AF156" i="1"/>
  <c r="AC156" i="1"/>
  <c r="AB156" i="1"/>
  <c r="Z156" i="1"/>
  <c r="AH156" i="1" s="1"/>
  <c r="AJ156" i="1" s="1"/>
  <c r="V156" i="1"/>
  <c r="U156" i="1"/>
  <c r="T156" i="1"/>
  <c r="O156" i="1"/>
  <c r="W156" i="1" s="1"/>
  <c r="Y156" i="1" s="1"/>
  <c r="N156" i="1"/>
  <c r="K156" i="1"/>
  <c r="J156" i="1"/>
  <c r="I156" i="1"/>
  <c r="H156" i="1"/>
  <c r="E156" i="1"/>
  <c r="C156" i="1"/>
  <c r="B156" i="1"/>
  <c r="D156" i="1" s="1"/>
  <c r="AO155" i="1"/>
  <c r="AL155" i="1"/>
  <c r="AN155" i="1" s="1"/>
  <c r="AI155" i="1"/>
  <c r="AH155" i="1"/>
  <c r="AJ155" i="1" s="1"/>
  <c r="AG155" i="1"/>
  <c r="AF155" i="1"/>
  <c r="AA155" i="1"/>
  <c r="AC155" i="1" s="1"/>
  <c r="Z155" i="1"/>
  <c r="AB155" i="1" s="1"/>
  <c r="X155" i="1"/>
  <c r="W155" i="1"/>
  <c r="Y155" i="1" s="1"/>
  <c r="V155" i="1"/>
  <c r="U155" i="1"/>
  <c r="T155" i="1"/>
  <c r="Q155" i="1"/>
  <c r="N155" i="1"/>
  <c r="P155" i="1" s="1"/>
  <c r="L155" i="1"/>
  <c r="K155" i="1"/>
  <c r="I155" i="1"/>
  <c r="H155" i="1"/>
  <c r="D155" i="1"/>
  <c r="C155" i="1"/>
  <c r="B155" i="1"/>
  <c r="J155" i="1" s="1"/>
  <c r="AP155" i="1" s="1"/>
  <c r="AO154" i="1"/>
  <c r="AN154" i="1"/>
  <c r="AL154" i="1"/>
  <c r="AL161" i="1" s="1"/>
  <c r="AN161" i="1" s="1"/>
  <c r="AG154" i="1"/>
  <c r="AF154" i="1"/>
  <c r="AB154" i="1"/>
  <c r="AA154" i="1"/>
  <c r="Z154" i="1"/>
  <c r="W154" i="1"/>
  <c r="Y154" i="1" s="1"/>
  <c r="V154" i="1"/>
  <c r="X154" i="1" s="1"/>
  <c r="U154" i="1"/>
  <c r="T154" i="1"/>
  <c r="Q154" i="1"/>
  <c r="P154" i="1"/>
  <c r="O154" i="1"/>
  <c r="N154" i="1"/>
  <c r="K154" i="1"/>
  <c r="I154" i="1"/>
  <c r="H154" i="1"/>
  <c r="F154" i="1"/>
  <c r="C154" i="1"/>
  <c r="B154" i="1"/>
  <c r="AO153" i="1"/>
  <c r="AN153" i="1"/>
  <c r="AI153" i="1"/>
  <c r="AH153" i="1"/>
  <c r="AJ153" i="1" s="1"/>
  <c r="AG153" i="1"/>
  <c r="AF153" i="1"/>
  <c r="AC153" i="1"/>
  <c r="AB153" i="1"/>
  <c r="W153" i="1"/>
  <c r="Y153" i="1" s="1"/>
  <c r="V153" i="1"/>
  <c r="X153" i="1" s="1"/>
  <c r="U153" i="1"/>
  <c r="T153" i="1"/>
  <c r="Q153" i="1"/>
  <c r="P153" i="1"/>
  <c r="K153" i="1"/>
  <c r="M153" i="1" s="1"/>
  <c r="J153" i="1"/>
  <c r="I153" i="1"/>
  <c r="H153" i="1"/>
  <c r="E153" i="1"/>
  <c r="D153" i="1"/>
  <c r="AO152" i="1"/>
  <c r="AM152" i="1"/>
  <c r="AL152" i="1"/>
  <c r="AN152" i="1" s="1"/>
  <c r="AG152" i="1"/>
  <c r="AE152" i="1"/>
  <c r="AD152" i="1"/>
  <c r="AF152" i="1" s="1"/>
  <c r="AA152" i="1"/>
  <c r="AC152" i="1" s="1"/>
  <c r="Z152" i="1"/>
  <c r="Y152" i="1"/>
  <c r="T152" i="1"/>
  <c r="S152" i="1"/>
  <c r="U152" i="1" s="1"/>
  <c r="R152" i="1"/>
  <c r="Q152" i="1"/>
  <c r="O152" i="1"/>
  <c r="W152" i="1" s="1"/>
  <c r="N152" i="1"/>
  <c r="P152" i="1" s="1"/>
  <c r="K152" i="1"/>
  <c r="I152" i="1"/>
  <c r="G152" i="1"/>
  <c r="F152" i="1"/>
  <c r="H152" i="1" s="1"/>
  <c r="C152" i="1"/>
  <c r="B152" i="1"/>
  <c r="AO151" i="1"/>
  <c r="AN151" i="1"/>
  <c r="AI151" i="1"/>
  <c r="AH151" i="1"/>
  <c r="AG151" i="1"/>
  <c r="AF151" i="1"/>
  <c r="AC151" i="1"/>
  <c r="AB151" i="1"/>
  <c r="W151" i="1"/>
  <c r="V151" i="1"/>
  <c r="U151" i="1"/>
  <c r="T151" i="1"/>
  <c r="Q151" i="1"/>
  <c r="P151" i="1"/>
  <c r="K151" i="1"/>
  <c r="I151" i="1"/>
  <c r="H151" i="1"/>
  <c r="D151" i="1"/>
  <c r="C151" i="1"/>
  <c r="E151" i="1" s="1"/>
  <c r="B151" i="1"/>
  <c r="J151" i="1" s="1"/>
  <c r="AP151" i="1" s="1"/>
  <c r="AO150" i="1"/>
  <c r="AN150" i="1"/>
  <c r="AJ150" i="1"/>
  <c r="AI150" i="1"/>
  <c r="AK150" i="1" s="1"/>
  <c r="AH150" i="1"/>
  <c r="AG150" i="1"/>
  <c r="AF150" i="1"/>
  <c r="AC150" i="1"/>
  <c r="AB150" i="1"/>
  <c r="X150" i="1"/>
  <c r="W150" i="1"/>
  <c r="Y150" i="1" s="1"/>
  <c r="V150" i="1"/>
  <c r="U150" i="1"/>
  <c r="T150" i="1"/>
  <c r="Q150" i="1"/>
  <c r="P150" i="1"/>
  <c r="K150" i="1"/>
  <c r="AQ150" i="1" s="1"/>
  <c r="I150" i="1"/>
  <c r="H150" i="1"/>
  <c r="C150" i="1"/>
  <c r="B150" i="1"/>
  <c r="AS149" i="1"/>
  <c r="AP149" i="1"/>
  <c r="AR149" i="1" s="1"/>
  <c r="AO149" i="1"/>
  <c r="AN149" i="1"/>
  <c r="AJ149" i="1"/>
  <c r="AI149" i="1"/>
  <c r="AK149" i="1" s="1"/>
  <c r="AH149" i="1"/>
  <c r="AG149" i="1"/>
  <c r="AF149" i="1"/>
  <c r="AC149" i="1"/>
  <c r="AB149" i="1"/>
  <c r="X149" i="1"/>
  <c r="W149" i="1"/>
  <c r="Y149" i="1" s="1"/>
  <c r="V149" i="1"/>
  <c r="U149" i="1"/>
  <c r="T149" i="1"/>
  <c r="Q149" i="1"/>
  <c r="P149" i="1"/>
  <c r="L149" i="1"/>
  <c r="K149" i="1"/>
  <c r="AQ149" i="1" s="1"/>
  <c r="J149" i="1"/>
  <c r="I149" i="1"/>
  <c r="H149" i="1"/>
  <c r="E149" i="1"/>
  <c r="D149" i="1"/>
  <c r="AM148" i="1"/>
  <c r="AO148" i="1" s="1"/>
  <c r="AL148" i="1"/>
  <c r="AN148" i="1" s="1"/>
  <c r="AE148" i="1"/>
  <c r="AG148" i="1" s="1"/>
  <c r="AD148" i="1"/>
  <c r="AF148" i="1" s="1"/>
  <c r="AA148" i="1"/>
  <c r="Z148" i="1"/>
  <c r="AH148" i="1" s="1"/>
  <c r="V148" i="1"/>
  <c r="U148" i="1"/>
  <c r="S148" i="1"/>
  <c r="T148" i="1" s="1"/>
  <c r="R148" i="1"/>
  <c r="O148" i="1"/>
  <c r="Q148" i="1" s="1"/>
  <c r="N148" i="1"/>
  <c r="P148" i="1" s="1"/>
  <c r="G148" i="1"/>
  <c r="I148" i="1" s="1"/>
  <c r="F148" i="1"/>
  <c r="H148" i="1" s="1"/>
  <c r="AP147" i="1"/>
  <c r="AO147" i="1"/>
  <c r="AN147" i="1"/>
  <c r="AK147" i="1"/>
  <c r="AI147" i="1"/>
  <c r="AH147" i="1"/>
  <c r="AJ147" i="1" s="1"/>
  <c r="AG147" i="1"/>
  <c r="AF147" i="1"/>
  <c r="AC147" i="1"/>
  <c r="AB147" i="1"/>
  <c r="Y147" i="1"/>
  <c r="W147" i="1"/>
  <c r="V147" i="1"/>
  <c r="X147" i="1" s="1"/>
  <c r="U147" i="1"/>
  <c r="T147" i="1"/>
  <c r="Q147" i="1"/>
  <c r="P147" i="1"/>
  <c r="J147" i="1"/>
  <c r="I147" i="1"/>
  <c r="H147" i="1"/>
  <c r="E147" i="1"/>
  <c r="D147" i="1"/>
  <c r="C147" i="1"/>
  <c r="K147" i="1" s="1"/>
  <c r="M147" i="1" s="1"/>
  <c r="B147" i="1"/>
  <c r="B148" i="1" s="1"/>
  <c r="J148" i="1" s="1"/>
  <c r="AQ146" i="1"/>
  <c r="AS146" i="1" s="1"/>
  <c r="AP146" i="1"/>
  <c r="AO146" i="1"/>
  <c r="AN146" i="1"/>
  <c r="AK146" i="1"/>
  <c r="AI146" i="1"/>
  <c r="AH146" i="1"/>
  <c r="AJ146" i="1" s="1"/>
  <c r="AG146" i="1"/>
  <c r="AF146" i="1"/>
  <c r="AC146" i="1"/>
  <c r="AB146" i="1"/>
  <c r="Y146" i="1"/>
  <c r="W146" i="1"/>
  <c r="V146" i="1"/>
  <c r="X146" i="1" s="1"/>
  <c r="U146" i="1"/>
  <c r="T146" i="1"/>
  <c r="Q146" i="1"/>
  <c r="P146" i="1"/>
  <c r="M146" i="1"/>
  <c r="K146" i="1"/>
  <c r="J146" i="1"/>
  <c r="L146" i="1" s="1"/>
  <c r="I146" i="1"/>
  <c r="H146" i="1"/>
  <c r="E146" i="1"/>
  <c r="D146" i="1"/>
  <c r="AO145" i="1"/>
  <c r="AN145" i="1"/>
  <c r="AI145" i="1"/>
  <c r="AK145" i="1" s="1"/>
  <c r="AH145" i="1"/>
  <c r="AG145" i="1"/>
  <c r="AF145" i="1"/>
  <c r="AC145" i="1"/>
  <c r="AB145" i="1"/>
  <c r="W145" i="1"/>
  <c r="Y145" i="1" s="1"/>
  <c r="V145" i="1"/>
  <c r="U145" i="1"/>
  <c r="T145" i="1"/>
  <c r="Q145" i="1"/>
  <c r="P145" i="1"/>
  <c r="K145" i="1"/>
  <c r="AQ145" i="1" s="1"/>
  <c r="I145" i="1"/>
  <c r="H145" i="1"/>
  <c r="C145" i="1"/>
  <c r="B145" i="1"/>
  <c r="AO144" i="1"/>
  <c r="AN144" i="1"/>
  <c r="AG144" i="1"/>
  <c r="AF144" i="1"/>
  <c r="AA144" i="1"/>
  <c r="AI144" i="1" s="1"/>
  <c r="AK144" i="1" s="1"/>
  <c r="Z144" i="1"/>
  <c r="AH144" i="1" s="1"/>
  <c r="AJ144" i="1" s="1"/>
  <c r="W144" i="1"/>
  <c r="U144" i="1"/>
  <c r="T144" i="1"/>
  <c r="R144" i="1"/>
  <c r="Q144" i="1"/>
  <c r="P144" i="1"/>
  <c r="O144" i="1"/>
  <c r="N144" i="1"/>
  <c r="K144" i="1"/>
  <c r="J144" i="1"/>
  <c r="I144" i="1"/>
  <c r="H144" i="1"/>
  <c r="E144" i="1"/>
  <c r="D144" i="1"/>
  <c r="B144" i="1"/>
  <c r="AO143" i="1"/>
  <c r="AL143" i="1"/>
  <c r="AN143" i="1" s="1"/>
  <c r="AG143" i="1"/>
  <c r="AF143" i="1"/>
  <c r="AD143" i="1"/>
  <c r="AA143" i="1"/>
  <c r="Z143" i="1"/>
  <c r="U143" i="1"/>
  <c r="R143" i="1"/>
  <c r="T143" i="1" s="1"/>
  <c r="Q143" i="1"/>
  <c r="P143" i="1"/>
  <c r="O143" i="1"/>
  <c r="W143" i="1" s="1"/>
  <c r="N143" i="1"/>
  <c r="K143" i="1"/>
  <c r="M143" i="1" s="1"/>
  <c r="J143" i="1"/>
  <c r="L143" i="1" s="1"/>
  <c r="I143" i="1"/>
  <c r="H143" i="1"/>
  <c r="F143" i="1"/>
  <c r="E143" i="1"/>
  <c r="B143" i="1"/>
  <c r="D143" i="1" s="1"/>
  <c r="AO142" i="1"/>
  <c r="AN142" i="1"/>
  <c r="AJ142" i="1"/>
  <c r="AI142" i="1"/>
  <c r="AK142" i="1" s="1"/>
  <c r="AH142" i="1"/>
  <c r="AG142" i="1"/>
  <c r="AF142" i="1"/>
  <c r="AC142" i="1"/>
  <c r="AB142" i="1"/>
  <c r="W142" i="1"/>
  <c r="Y142" i="1" s="1"/>
  <c r="V142" i="1"/>
  <c r="U142" i="1"/>
  <c r="T142" i="1"/>
  <c r="Q142" i="1"/>
  <c r="P142" i="1"/>
  <c r="K142" i="1"/>
  <c r="J142" i="1"/>
  <c r="AP142" i="1" s="1"/>
  <c r="I142" i="1"/>
  <c r="H142" i="1"/>
  <c r="E142" i="1"/>
  <c r="D142" i="1"/>
  <c r="C142" i="1"/>
  <c r="AA141" i="1"/>
  <c r="S141" i="1"/>
  <c r="U141" i="1" s="1"/>
  <c r="R141" i="1"/>
  <c r="I141" i="1"/>
  <c r="G141" i="1"/>
  <c r="AQ140" i="1"/>
  <c r="AO140" i="1"/>
  <c r="AN140" i="1"/>
  <c r="AI140" i="1"/>
  <c r="AK140" i="1" s="1"/>
  <c r="AH140" i="1"/>
  <c r="AJ140" i="1" s="1"/>
  <c r="AG140" i="1"/>
  <c r="AF140" i="1"/>
  <c r="AC140" i="1"/>
  <c r="AB140" i="1"/>
  <c r="W140" i="1"/>
  <c r="Y140" i="1" s="1"/>
  <c r="V140" i="1"/>
  <c r="X140" i="1" s="1"/>
  <c r="U140" i="1"/>
  <c r="T140" i="1"/>
  <c r="Q140" i="1"/>
  <c r="P140" i="1"/>
  <c r="K140" i="1"/>
  <c r="M140" i="1" s="1"/>
  <c r="J140" i="1"/>
  <c r="I140" i="1"/>
  <c r="H140" i="1"/>
  <c r="E140" i="1"/>
  <c r="D140" i="1"/>
  <c r="C140" i="1"/>
  <c r="B140" i="1"/>
  <c r="AO139" i="1"/>
  <c r="AN139" i="1"/>
  <c r="AK139" i="1"/>
  <c r="AI139" i="1"/>
  <c r="AH139" i="1"/>
  <c r="AJ139" i="1" s="1"/>
  <c r="AG139" i="1"/>
  <c r="AF139" i="1"/>
  <c r="AC139" i="1"/>
  <c r="AB139" i="1"/>
  <c r="Y139" i="1"/>
  <c r="W139" i="1"/>
  <c r="V139" i="1"/>
  <c r="X139" i="1" s="1"/>
  <c r="U139" i="1"/>
  <c r="T139" i="1"/>
  <c r="Q139" i="1"/>
  <c r="P139" i="1"/>
  <c r="J139" i="1"/>
  <c r="AP139" i="1" s="1"/>
  <c r="I139" i="1"/>
  <c r="H139" i="1"/>
  <c r="E139" i="1"/>
  <c r="D139" i="1"/>
  <c r="C139" i="1"/>
  <c r="K139" i="1" s="1"/>
  <c r="AM138" i="1"/>
  <c r="AL138" i="1"/>
  <c r="AN138" i="1" s="1"/>
  <c r="AE138" i="1"/>
  <c r="AD138" i="1"/>
  <c r="AF138" i="1" s="1"/>
  <c r="AC138" i="1"/>
  <c r="AB138" i="1"/>
  <c r="AA138" i="1"/>
  <c r="Z138" i="1"/>
  <c r="W138" i="1"/>
  <c r="Y138" i="1" s="1"/>
  <c r="V138" i="1"/>
  <c r="U138" i="1"/>
  <c r="T138" i="1"/>
  <c r="S138" i="1"/>
  <c r="R138" i="1"/>
  <c r="O138" i="1"/>
  <c r="Q138" i="1" s="1"/>
  <c r="N138" i="1"/>
  <c r="P138" i="1" s="1"/>
  <c r="G138" i="1"/>
  <c r="I138" i="1" s="1"/>
  <c r="F138" i="1"/>
  <c r="H138" i="1" s="1"/>
  <c r="B138" i="1"/>
  <c r="J138" i="1" s="1"/>
  <c r="AO137" i="1"/>
  <c r="AN137" i="1"/>
  <c r="AK137" i="1"/>
  <c r="AJ137" i="1"/>
  <c r="AI137" i="1"/>
  <c r="AH137" i="1"/>
  <c r="AG137" i="1"/>
  <c r="AF137" i="1"/>
  <c r="AC137" i="1"/>
  <c r="AB137" i="1"/>
  <c r="Y137" i="1"/>
  <c r="X137" i="1"/>
  <c r="W137" i="1"/>
  <c r="V137" i="1"/>
  <c r="U137" i="1"/>
  <c r="T137" i="1"/>
  <c r="Q137" i="1"/>
  <c r="P137" i="1"/>
  <c r="J137" i="1"/>
  <c r="AP137" i="1" s="1"/>
  <c r="I137" i="1"/>
  <c r="H137" i="1"/>
  <c r="C137" i="1"/>
  <c r="AQ136" i="1"/>
  <c r="AO136" i="1"/>
  <c r="AN136" i="1"/>
  <c r="AI136" i="1"/>
  <c r="AK136" i="1" s="1"/>
  <c r="AH136" i="1"/>
  <c r="AJ136" i="1" s="1"/>
  <c r="AG136" i="1"/>
  <c r="AF136" i="1"/>
  <c r="AC136" i="1"/>
  <c r="AB136" i="1"/>
  <c r="X136" i="1"/>
  <c r="W136" i="1"/>
  <c r="Y136" i="1" s="1"/>
  <c r="V136" i="1"/>
  <c r="U136" i="1"/>
  <c r="T136" i="1"/>
  <c r="Q136" i="1"/>
  <c r="P136" i="1"/>
  <c r="L136" i="1"/>
  <c r="K136" i="1"/>
  <c r="M136" i="1" s="1"/>
  <c r="J136" i="1"/>
  <c r="I136" i="1"/>
  <c r="H136" i="1"/>
  <c r="D136" i="1"/>
  <c r="C136" i="1"/>
  <c r="E136" i="1" s="1"/>
  <c r="AO135" i="1"/>
  <c r="AN135" i="1"/>
  <c r="AI135" i="1"/>
  <c r="AK135" i="1" s="1"/>
  <c r="AH135" i="1"/>
  <c r="AJ135" i="1" s="1"/>
  <c r="AG135" i="1"/>
  <c r="AF135" i="1"/>
  <c r="AC135" i="1"/>
  <c r="AB135" i="1"/>
  <c r="W135" i="1"/>
  <c r="Y135" i="1" s="1"/>
  <c r="V135" i="1"/>
  <c r="X135" i="1" s="1"/>
  <c r="U135" i="1"/>
  <c r="T135" i="1"/>
  <c r="Q135" i="1"/>
  <c r="P135" i="1"/>
  <c r="K135" i="1"/>
  <c r="M135" i="1" s="1"/>
  <c r="J135" i="1"/>
  <c r="I135" i="1"/>
  <c r="H135" i="1"/>
  <c r="E135" i="1"/>
  <c r="C135" i="1"/>
  <c r="D135" i="1" s="1"/>
  <c r="AQ134" i="1"/>
  <c r="AS134" i="1" s="1"/>
  <c r="AO134" i="1"/>
  <c r="AN134" i="1"/>
  <c r="AI134" i="1"/>
  <c r="AK134" i="1" s="1"/>
  <c r="AH134" i="1"/>
  <c r="AJ134" i="1" s="1"/>
  <c r="AG134" i="1"/>
  <c r="AF134" i="1"/>
  <c r="AC134" i="1"/>
  <c r="AB134" i="1"/>
  <c r="W134" i="1"/>
  <c r="Y134" i="1" s="1"/>
  <c r="V134" i="1"/>
  <c r="X134" i="1" s="1"/>
  <c r="U134" i="1"/>
  <c r="T134" i="1"/>
  <c r="Q134" i="1"/>
  <c r="P134" i="1"/>
  <c r="K134" i="1"/>
  <c r="M134" i="1" s="1"/>
  <c r="J134" i="1"/>
  <c r="L134" i="1" s="1"/>
  <c r="I134" i="1"/>
  <c r="H134" i="1"/>
  <c r="E134" i="1"/>
  <c r="D134" i="1"/>
  <c r="AO133" i="1"/>
  <c r="AN133" i="1"/>
  <c r="AL133" i="1"/>
  <c r="AL141" i="1" s="1"/>
  <c r="AK133" i="1"/>
  <c r="AI133" i="1"/>
  <c r="AG133" i="1"/>
  <c r="AD133" i="1"/>
  <c r="AC133" i="1"/>
  <c r="AB133" i="1"/>
  <c r="Z133" i="1"/>
  <c r="W133" i="1"/>
  <c r="Y133" i="1" s="1"/>
  <c r="V133" i="1"/>
  <c r="X133" i="1" s="1"/>
  <c r="U133" i="1"/>
  <c r="T133" i="1"/>
  <c r="Q133" i="1"/>
  <c r="N133" i="1"/>
  <c r="P133" i="1" s="1"/>
  <c r="L133" i="1"/>
  <c r="K133" i="1"/>
  <c r="J133" i="1"/>
  <c r="I133" i="1"/>
  <c r="H133" i="1"/>
  <c r="E133" i="1"/>
  <c r="D133" i="1"/>
  <c r="B133" i="1"/>
  <c r="AO132" i="1"/>
  <c r="AN132" i="1"/>
  <c r="AI132" i="1"/>
  <c r="AK132" i="1" s="1"/>
  <c r="AH132" i="1"/>
  <c r="AG132" i="1"/>
  <c r="AF132" i="1"/>
  <c r="AC132" i="1"/>
  <c r="AB132" i="1"/>
  <c r="W132" i="1"/>
  <c r="Y132" i="1" s="1"/>
  <c r="V132" i="1"/>
  <c r="X132" i="1" s="1"/>
  <c r="U132" i="1"/>
  <c r="T132" i="1"/>
  <c r="Q132" i="1"/>
  <c r="P132" i="1"/>
  <c r="K132" i="1"/>
  <c r="M132" i="1" s="1"/>
  <c r="I132" i="1"/>
  <c r="H132" i="1"/>
  <c r="F132" i="1"/>
  <c r="J132" i="1" s="1"/>
  <c r="E132" i="1"/>
  <c r="D132" i="1"/>
  <c r="AO131" i="1"/>
  <c r="AN131" i="1"/>
  <c r="AI131" i="1"/>
  <c r="AK131" i="1" s="1"/>
  <c r="AH131" i="1"/>
  <c r="AJ131" i="1" s="1"/>
  <c r="AG131" i="1"/>
  <c r="AF131" i="1"/>
  <c r="AC131" i="1"/>
  <c r="AB131" i="1"/>
  <c r="W131" i="1"/>
  <c r="V131" i="1"/>
  <c r="X131" i="1" s="1"/>
  <c r="U131" i="1"/>
  <c r="T131" i="1"/>
  <c r="Q131" i="1"/>
  <c r="P131" i="1"/>
  <c r="O131" i="1"/>
  <c r="K131" i="1"/>
  <c r="J131" i="1"/>
  <c r="L131" i="1" s="1"/>
  <c r="I131" i="1"/>
  <c r="H131" i="1"/>
  <c r="E131" i="1"/>
  <c r="C131" i="1"/>
  <c r="B131" i="1"/>
  <c r="D131" i="1" s="1"/>
  <c r="AO130" i="1"/>
  <c r="AN130" i="1"/>
  <c r="AI130" i="1"/>
  <c r="AK130" i="1" s="1"/>
  <c r="AH130" i="1"/>
  <c r="AG130" i="1"/>
  <c r="AF130" i="1"/>
  <c r="AC130" i="1"/>
  <c r="AB130" i="1"/>
  <c r="W130" i="1"/>
  <c r="Y130" i="1" s="1"/>
  <c r="V130" i="1"/>
  <c r="U130" i="1"/>
  <c r="T130" i="1"/>
  <c r="Q130" i="1"/>
  <c r="P130" i="1"/>
  <c r="K130" i="1"/>
  <c r="J130" i="1"/>
  <c r="L130" i="1" s="1"/>
  <c r="I130" i="1"/>
  <c r="F130" i="1"/>
  <c r="H130" i="1" s="1"/>
  <c r="C130" i="1"/>
  <c r="E130" i="1" s="1"/>
  <c r="B130" i="1"/>
  <c r="D130" i="1" s="1"/>
  <c r="AQ129" i="1"/>
  <c r="AO129" i="1"/>
  <c r="AN129" i="1"/>
  <c r="AJ129" i="1"/>
  <c r="AI129" i="1"/>
  <c r="AK129" i="1" s="1"/>
  <c r="AH129" i="1"/>
  <c r="AG129" i="1"/>
  <c r="AF129" i="1"/>
  <c r="AC129" i="1"/>
  <c r="AB129" i="1"/>
  <c r="W129" i="1"/>
  <c r="U129" i="1"/>
  <c r="T129" i="1"/>
  <c r="O129" i="1"/>
  <c r="Q129" i="1" s="1"/>
  <c r="N129" i="1"/>
  <c r="M129" i="1"/>
  <c r="L129" i="1"/>
  <c r="K129" i="1"/>
  <c r="J129" i="1"/>
  <c r="I129" i="1"/>
  <c r="H129" i="1"/>
  <c r="E129" i="1"/>
  <c r="D129" i="1"/>
  <c r="AO128" i="1"/>
  <c r="AN128" i="1"/>
  <c r="AI128" i="1"/>
  <c r="AK128" i="1" s="1"/>
  <c r="AH128" i="1"/>
  <c r="AJ128" i="1" s="1"/>
  <c r="AG128" i="1"/>
  <c r="AF128" i="1"/>
  <c r="AC128" i="1"/>
  <c r="AB128" i="1"/>
  <c r="W128" i="1"/>
  <c r="V128" i="1"/>
  <c r="X128" i="1" s="1"/>
  <c r="U128" i="1"/>
  <c r="T128" i="1"/>
  <c r="Q128" i="1"/>
  <c r="P128" i="1"/>
  <c r="K128" i="1"/>
  <c r="J128" i="1"/>
  <c r="I128" i="1"/>
  <c r="H128" i="1"/>
  <c r="C128" i="1"/>
  <c r="E128" i="1" s="1"/>
  <c r="B128" i="1"/>
  <c r="D128" i="1" s="1"/>
  <c r="AP127" i="1"/>
  <c r="AO127" i="1"/>
  <c r="AN127" i="1"/>
  <c r="AJ127" i="1"/>
  <c r="AI127" i="1"/>
  <c r="AK127" i="1" s="1"/>
  <c r="AH127" i="1"/>
  <c r="AG127" i="1"/>
  <c r="AF127" i="1"/>
  <c r="AC127" i="1"/>
  <c r="AB127" i="1"/>
  <c r="X127" i="1"/>
  <c r="W127" i="1"/>
  <c r="Y127" i="1" s="1"/>
  <c r="V127" i="1"/>
  <c r="U127" i="1"/>
  <c r="T127" i="1"/>
  <c r="Q127" i="1"/>
  <c r="P127" i="1"/>
  <c r="K127" i="1"/>
  <c r="J127" i="1"/>
  <c r="I127" i="1"/>
  <c r="H127" i="1"/>
  <c r="E127" i="1"/>
  <c r="D127" i="1"/>
  <c r="B127" i="1"/>
  <c r="AO126" i="1"/>
  <c r="AN126" i="1"/>
  <c r="AI126" i="1"/>
  <c r="AH126" i="1"/>
  <c r="AJ126" i="1" s="1"/>
  <c r="AG126" i="1"/>
  <c r="AF126" i="1"/>
  <c r="AC126" i="1"/>
  <c r="AA126" i="1"/>
  <c r="AB126" i="1" s="1"/>
  <c r="W126" i="1"/>
  <c r="V126" i="1"/>
  <c r="X126" i="1" s="1"/>
  <c r="U126" i="1"/>
  <c r="T126" i="1"/>
  <c r="P126" i="1"/>
  <c r="O126" i="1"/>
  <c r="Q126" i="1" s="1"/>
  <c r="I126" i="1"/>
  <c r="H126" i="1"/>
  <c r="C126" i="1"/>
  <c r="B126" i="1"/>
  <c r="AO125" i="1"/>
  <c r="AN125" i="1"/>
  <c r="AI125" i="1"/>
  <c r="AG125" i="1"/>
  <c r="AF125" i="1"/>
  <c r="AA125" i="1"/>
  <c r="Z125" i="1"/>
  <c r="W125" i="1"/>
  <c r="U125" i="1"/>
  <c r="T125" i="1"/>
  <c r="O125" i="1"/>
  <c r="N125" i="1"/>
  <c r="K125" i="1"/>
  <c r="I125" i="1"/>
  <c r="F125" i="1"/>
  <c r="E125" i="1"/>
  <c r="D125" i="1"/>
  <c r="C125" i="1"/>
  <c r="B125" i="1"/>
  <c r="B141" i="1" s="1"/>
  <c r="AO124" i="1"/>
  <c r="AN124" i="1"/>
  <c r="AI124" i="1"/>
  <c r="AH124" i="1"/>
  <c r="AJ124" i="1" s="1"/>
  <c r="AG124" i="1"/>
  <c r="AF124" i="1"/>
  <c r="AC124" i="1"/>
  <c r="AB124" i="1"/>
  <c r="AA124" i="1"/>
  <c r="W124" i="1"/>
  <c r="V124" i="1"/>
  <c r="X124" i="1" s="1"/>
  <c r="U124" i="1"/>
  <c r="T124" i="1"/>
  <c r="Q124" i="1"/>
  <c r="O124" i="1"/>
  <c r="K124" i="1"/>
  <c r="M124" i="1" s="1"/>
  <c r="J124" i="1"/>
  <c r="I124" i="1"/>
  <c r="H124" i="1"/>
  <c r="E124" i="1"/>
  <c r="D124" i="1"/>
  <c r="AO123" i="1"/>
  <c r="AN123" i="1"/>
  <c r="AI123" i="1"/>
  <c r="AG123" i="1"/>
  <c r="AF123" i="1"/>
  <c r="AB123" i="1"/>
  <c r="AA123" i="1"/>
  <c r="Z123" i="1"/>
  <c r="X123" i="1"/>
  <c r="W123" i="1"/>
  <c r="Y123" i="1" s="1"/>
  <c r="V123" i="1"/>
  <c r="U123" i="1"/>
  <c r="T123" i="1"/>
  <c r="Q123" i="1"/>
  <c r="P123" i="1"/>
  <c r="K123" i="1"/>
  <c r="J123" i="1"/>
  <c r="I123" i="1"/>
  <c r="H123" i="1"/>
  <c r="E123" i="1"/>
  <c r="D123" i="1"/>
  <c r="AQ122" i="1"/>
  <c r="AS122" i="1" s="1"/>
  <c r="AO122" i="1"/>
  <c r="AN122" i="1"/>
  <c r="AI122" i="1"/>
  <c r="AK122" i="1" s="1"/>
  <c r="AH122" i="1"/>
  <c r="AJ122" i="1" s="1"/>
  <c r="AG122" i="1"/>
  <c r="AF122" i="1"/>
  <c r="AC122" i="1"/>
  <c r="AB122" i="1"/>
  <c r="Z122" i="1"/>
  <c r="W122" i="1"/>
  <c r="Y122" i="1" s="1"/>
  <c r="V122" i="1"/>
  <c r="U122" i="1"/>
  <c r="T122" i="1"/>
  <c r="Q122" i="1"/>
  <c r="N122" i="1"/>
  <c r="P122" i="1" s="1"/>
  <c r="K122" i="1"/>
  <c r="M122" i="1" s="1"/>
  <c r="J122" i="1"/>
  <c r="L122" i="1" s="1"/>
  <c r="I122" i="1"/>
  <c r="H122" i="1"/>
  <c r="E122" i="1"/>
  <c r="D122" i="1"/>
  <c r="AO121" i="1"/>
  <c r="AN121" i="1"/>
  <c r="AL121" i="1"/>
  <c r="AI121" i="1"/>
  <c r="AK121" i="1" s="1"/>
  <c r="AH121" i="1"/>
  <c r="AG121" i="1"/>
  <c r="AF121" i="1"/>
  <c r="AA121" i="1"/>
  <c r="AC121" i="1" s="1"/>
  <c r="Z121" i="1"/>
  <c r="U121" i="1"/>
  <c r="T121" i="1"/>
  <c r="O121" i="1"/>
  <c r="W121" i="1" s="1"/>
  <c r="N121" i="1"/>
  <c r="I121" i="1"/>
  <c r="H121" i="1"/>
  <c r="C121" i="1"/>
  <c r="B121" i="1"/>
  <c r="AO120" i="1"/>
  <c r="AL120" i="1"/>
  <c r="AN120" i="1" s="1"/>
  <c r="AH120" i="1"/>
  <c r="AG120" i="1"/>
  <c r="AF120" i="1"/>
  <c r="AA120" i="1"/>
  <c r="Z120" i="1"/>
  <c r="W120" i="1"/>
  <c r="U120" i="1"/>
  <c r="T120" i="1"/>
  <c r="P120" i="1"/>
  <c r="O120" i="1"/>
  <c r="N120" i="1"/>
  <c r="K120" i="1"/>
  <c r="I120" i="1"/>
  <c r="H120" i="1"/>
  <c r="D120" i="1"/>
  <c r="C120" i="1"/>
  <c r="E120" i="1" s="1"/>
  <c r="B120" i="1"/>
  <c r="J120" i="1" s="1"/>
  <c r="AO119" i="1"/>
  <c r="AN119" i="1"/>
  <c r="AI119" i="1"/>
  <c r="AH119" i="1"/>
  <c r="AJ119" i="1" s="1"/>
  <c r="AG119" i="1"/>
  <c r="AF119" i="1"/>
  <c r="AB119" i="1"/>
  <c r="AA119" i="1"/>
  <c r="AC119" i="1" s="1"/>
  <c r="W119" i="1"/>
  <c r="V119" i="1"/>
  <c r="X119" i="1" s="1"/>
  <c r="U119" i="1"/>
  <c r="T119" i="1"/>
  <c r="O119" i="1"/>
  <c r="P119" i="1" s="1"/>
  <c r="K119" i="1"/>
  <c r="AQ119" i="1" s="1"/>
  <c r="I119" i="1"/>
  <c r="H119" i="1"/>
  <c r="C119" i="1"/>
  <c r="B119" i="1"/>
  <c r="AO118" i="1"/>
  <c r="AM118" i="1"/>
  <c r="AL118" i="1"/>
  <c r="AN118" i="1" s="1"/>
  <c r="AK118" i="1"/>
  <c r="AG118" i="1"/>
  <c r="AF118" i="1"/>
  <c r="AE118" i="1"/>
  <c r="AD118" i="1"/>
  <c r="AC118" i="1"/>
  <c r="AB118" i="1"/>
  <c r="AA118" i="1"/>
  <c r="AI118" i="1" s="1"/>
  <c r="Z118" i="1"/>
  <c r="AH118" i="1" s="1"/>
  <c r="AJ118" i="1" s="1"/>
  <c r="U118" i="1"/>
  <c r="S118" i="1"/>
  <c r="R118" i="1"/>
  <c r="T118" i="1" s="1"/>
  <c r="Q118" i="1"/>
  <c r="P118" i="1"/>
  <c r="O118" i="1"/>
  <c r="W118" i="1" s="1"/>
  <c r="Y118" i="1" s="1"/>
  <c r="N118" i="1"/>
  <c r="I118" i="1"/>
  <c r="H118" i="1"/>
  <c r="G118" i="1"/>
  <c r="F118" i="1"/>
  <c r="E118" i="1"/>
  <c r="C118" i="1"/>
  <c r="K118" i="1" s="1"/>
  <c r="B118" i="1"/>
  <c r="D118" i="1" s="1"/>
  <c r="AO117" i="1"/>
  <c r="AN117" i="1"/>
  <c r="AJ117" i="1"/>
  <c r="AI117" i="1"/>
  <c r="AK117" i="1" s="1"/>
  <c r="AH117" i="1"/>
  <c r="AG117" i="1"/>
  <c r="AF117" i="1"/>
  <c r="AC117" i="1"/>
  <c r="AB117" i="1"/>
  <c r="W117" i="1"/>
  <c r="V117" i="1"/>
  <c r="U117" i="1"/>
  <c r="T117" i="1"/>
  <c r="Q117" i="1"/>
  <c r="P117" i="1"/>
  <c r="K117" i="1"/>
  <c r="M117" i="1" s="1"/>
  <c r="J117" i="1"/>
  <c r="I117" i="1"/>
  <c r="H117" i="1"/>
  <c r="E117" i="1"/>
  <c r="D117" i="1"/>
  <c r="B117" i="1"/>
  <c r="AP116" i="1"/>
  <c r="AR116" i="1" s="1"/>
  <c r="AO116" i="1"/>
  <c r="AN116" i="1"/>
  <c r="AK116" i="1"/>
  <c r="AI116" i="1"/>
  <c r="AH116" i="1"/>
  <c r="AJ116" i="1" s="1"/>
  <c r="AG116" i="1"/>
  <c r="AF116" i="1"/>
  <c r="AC116" i="1"/>
  <c r="AB116" i="1"/>
  <c r="Y116" i="1"/>
  <c r="W116" i="1"/>
  <c r="V116" i="1"/>
  <c r="U116" i="1"/>
  <c r="T116" i="1"/>
  <c r="Q116" i="1"/>
  <c r="P116" i="1"/>
  <c r="M116" i="1"/>
  <c r="K116" i="1"/>
  <c r="AQ116" i="1" s="1"/>
  <c r="AS116" i="1" s="1"/>
  <c r="J116" i="1"/>
  <c r="I116" i="1"/>
  <c r="H116" i="1"/>
  <c r="E116" i="1"/>
  <c r="D116" i="1"/>
  <c r="AQ115" i="1"/>
  <c r="AS115" i="1" s="1"/>
  <c r="AP115" i="1"/>
  <c r="AO115" i="1"/>
  <c r="AN115" i="1"/>
  <c r="AI115" i="1"/>
  <c r="AG115" i="1"/>
  <c r="AF115" i="1"/>
  <c r="AC115" i="1"/>
  <c r="AB115" i="1"/>
  <c r="AA115" i="1"/>
  <c r="Z115" i="1"/>
  <c r="AH115" i="1" s="1"/>
  <c r="W115" i="1"/>
  <c r="Y115" i="1" s="1"/>
  <c r="V115" i="1"/>
  <c r="U115" i="1"/>
  <c r="T115" i="1"/>
  <c r="Q115" i="1"/>
  <c r="O115" i="1"/>
  <c r="P115" i="1" s="1"/>
  <c r="N115" i="1"/>
  <c r="M115" i="1"/>
  <c r="L115" i="1"/>
  <c r="K115" i="1"/>
  <c r="J115" i="1"/>
  <c r="I115" i="1"/>
  <c r="H115" i="1"/>
  <c r="E115" i="1"/>
  <c r="D115" i="1"/>
  <c r="AO114" i="1"/>
  <c r="AM114" i="1"/>
  <c r="AI114" i="1"/>
  <c r="AG114" i="1"/>
  <c r="AF114" i="1"/>
  <c r="AE114" i="1"/>
  <c r="AD114" i="1"/>
  <c r="AA114" i="1"/>
  <c r="Z114" i="1"/>
  <c r="S114" i="1"/>
  <c r="U114" i="1" s="1"/>
  <c r="R114" i="1"/>
  <c r="G114" i="1"/>
  <c r="F114" i="1"/>
  <c r="AQ113" i="1"/>
  <c r="AO113" i="1"/>
  <c r="AN113" i="1"/>
  <c r="AI113" i="1"/>
  <c r="AK113" i="1" s="1"/>
  <c r="AH113" i="1"/>
  <c r="AG113" i="1"/>
  <c r="AF113" i="1"/>
  <c r="AC113" i="1"/>
  <c r="AB113" i="1"/>
  <c r="W113" i="1"/>
  <c r="Y113" i="1" s="1"/>
  <c r="V113" i="1"/>
  <c r="U113" i="1"/>
  <c r="T113" i="1"/>
  <c r="Q113" i="1"/>
  <c r="P113" i="1"/>
  <c r="K113" i="1"/>
  <c r="J113" i="1"/>
  <c r="I113" i="1"/>
  <c r="H113" i="1"/>
  <c r="E113" i="1"/>
  <c r="C113" i="1"/>
  <c r="D113" i="1" s="1"/>
  <c r="AO112" i="1"/>
  <c r="AN112" i="1"/>
  <c r="AL112" i="1"/>
  <c r="AL114" i="1" s="1"/>
  <c r="AN114" i="1" s="1"/>
  <c r="AI112" i="1"/>
  <c r="AK112" i="1" s="1"/>
  <c r="AH112" i="1"/>
  <c r="AG112" i="1"/>
  <c r="AF112" i="1"/>
  <c r="AC112" i="1"/>
  <c r="AA112" i="1"/>
  <c r="Z112" i="1"/>
  <c r="AB112" i="1" s="1"/>
  <c r="U112" i="1"/>
  <c r="T112" i="1"/>
  <c r="O112" i="1"/>
  <c r="N112" i="1"/>
  <c r="I112" i="1"/>
  <c r="H112" i="1"/>
  <c r="D112" i="1"/>
  <c r="C112" i="1"/>
  <c r="B112" i="1"/>
  <c r="AP111" i="1"/>
  <c r="AO111" i="1"/>
  <c r="AN111" i="1"/>
  <c r="AI111" i="1"/>
  <c r="AK111" i="1" s="1"/>
  <c r="AH111" i="1"/>
  <c r="AG111" i="1"/>
  <c r="AF111" i="1"/>
  <c r="AC111" i="1"/>
  <c r="AB111" i="1"/>
  <c r="W111" i="1"/>
  <c r="Y111" i="1" s="1"/>
  <c r="V111" i="1"/>
  <c r="U111" i="1"/>
  <c r="T111" i="1"/>
  <c r="Q111" i="1"/>
  <c r="P111" i="1"/>
  <c r="L111" i="1"/>
  <c r="K111" i="1"/>
  <c r="J111" i="1"/>
  <c r="I111" i="1"/>
  <c r="H111" i="1"/>
  <c r="E111" i="1"/>
  <c r="D111" i="1"/>
  <c r="AM110" i="1"/>
  <c r="AO110" i="1" s="1"/>
  <c r="AE110" i="1"/>
  <c r="AG110" i="1" s="1"/>
  <c r="AD110" i="1"/>
  <c r="AF110" i="1" s="1"/>
  <c r="AA110" i="1"/>
  <c r="AI110" i="1" s="1"/>
  <c r="S110" i="1"/>
  <c r="R110" i="1"/>
  <c r="O110" i="1"/>
  <c r="N110" i="1"/>
  <c r="G110" i="1"/>
  <c r="I110" i="1" s="1"/>
  <c r="F110" i="1"/>
  <c r="H110" i="1" s="1"/>
  <c r="C110" i="1"/>
  <c r="AO109" i="1"/>
  <c r="AL109" i="1"/>
  <c r="AI109" i="1"/>
  <c r="AK109" i="1" s="1"/>
  <c r="AH109" i="1"/>
  <c r="AJ109" i="1" s="1"/>
  <c r="AG109" i="1"/>
  <c r="AF109" i="1"/>
  <c r="AC109" i="1"/>
  <c r="AB109" i="1"/>
  <c r="AA109" i="1"/>
  <c r="Z109" i="1"/>
  <c r="Z110" i="1" s="1"/>
  <c r="X109" i="1"/>
  <c r="W109" i="1"/>
  <c r="Y109" i="1" s="1"/>
  <c r="V109" i="1"/>
  <c r="U109" i="1"/>
  <c r="T109" i="1"/>
  <c r="O109" i="1"/>
  <c r="N109" i="1"/>
  <c r="P109" i="1" s="1"/>
  <c r="K109" i="1"/>
  <c r="AQ109" i="1" s="1"/>
  <c r="I109" i="1"/>
  <c r="H109" i="1"/>
  <c r="C109" i="1"/>
  <c r="B109" i="1"/>
  <c r="AO108" i="1"/>
  <c r="AN108" i="1"/>
  <c r="AH108" i="1"/>
  <c r="AG108" i="1"/>
  <c r="AF108" i="1"/>
  <c r="AB108" i="1"/>
  <c r="AA108" i="1"/>
  <c r="AC108" i="1" s="1"/>
  <c r="W108" i="1"/>
  <c r="Y108" i="1" s="1"/>
  <c r="V108" i="1"/>
  <c r="U108" i="1"/>
  <c r="T108" i="1"/>
  <c r="Q108" i="1"/>
  <c r="P108" i="1"/>
  <c r="O108" i="1"/>
  <c r="I108" i="1"/>
  <c r="H108" i="1"/>
  <c r="E108" i="1"/>
  <c r="D108" i="1"/>
  <c r="C108" i="1"/>
  <c r="K108" i="1" s="1"/>
  <c r="B108" i="1"/>
  <c r="AQ107" i="1"/>
  <c r="AS107" i="1" s="1"/>
  <c r="AP107" i="1"/>
  <c r="AR107" i="1" s="1"/>
  <c r="AO107" i="1"/>
  <c r="AN107" i="1"/>
  <c r="AK107" i="1"/>
  <c r="AJ107" i="1"/>
  <c r="AI107" i="1"/>
  <c r="AH107" i="1"/>
  <c r="AG107" i="1"/>
  <c r="AF107" i="1"/>
  <c r="AC107" i="1"/>
  <c r="AB107" i="1"/>
  <c r="Y107" i="1"/>
  <c r="X107" i="1"/>
  <c r="W107" i="1"/>
  <c r="V107" i="1"/>
  <c r="U107" i="1"/>
  <c r="T107" i="1"/>
  <c r="Q107" i="1"/>
  <c r="P107" i="1"/>
  <c r="M107" i="1"/>
  <c r="L107" i="1"/>
  <c r="K107" i="1"/>
  <c r="J107" i="1"/>
  <c r="I107" i="1"/>
  <c r="H107" i="1"/>
  <c r="E107" i="1"/>
  <c r="D107" i="1"/>
  <c r="AO106" i="1"/>
  <c r="AL106" i="1"/>
  <c r="AN106" i="1" s="1"/>
  <c r="AJ106" i="1"/>
  <c r="AI106" i="1"/>
  <c r="AK106" i="1" s="1"/>
  <c r="AG106" i="1"/>
  <c r="AF106" i="1"/>
  <c r="AC106" i="1"/>
  <c r="Z106" i="1"/>
  <c r="AH106" i="1" s="1"/>
  <c r="Y106" i="1"/>
  <c r="X106" i="1"/>
  <c r="W106" i="1"/>
  <c r="U106" i="1"/>
  <c r="T106" i="1"/>
  <c r="Q106" i="1"/>
  <c r="N106" i="1"/>
  <c r="V106" i="1" s="1"/>
  <c r="AP106" i="1" s="1"/>
  <c r="M106" i="1"/>
  <c r="J106" i="1"/>
  <c r="L106" i="1" s="1"/>
  <c r="I106" i="1"/>
  <c r="H106" i="1"/>
  <c r="E106" i="1"/>
  <c r="D106" i="1"/>
  <c r="C106" i="1"/>
  <c r="K106" i="1" s="1"/>
  <c r="B106" i="1"/>
  <c r="AM105" i="1"/>
  <c r="AO105" i="1" s="1"/>
  <c r="AE105" i="1"/>
  <c r="AG105" i="1" s="1"/>
  <c r="AO104" i="1"/>
  <c r="AL104" i="1"/>
  <c r="AN104" i="1" s="1"/>
  <c r="AI104" i="1"/>
  <c r="AH104" i="1"/>
  <c r="AG104" i="1"/>
  <c r="AF104" i="1"/>
  <c r="AA104" i="1"/>
  <c r="Z104" i="1"/>
  <c r="AB104" i="1" s="1"/>
  <c r="Y104" i="1"/>
  <c r="X104" i="1"/>
  <c r="U104" i="1"/>
  <c r="T104" i="1"/>
  <c r="Q104" i="1"/>
  <c r="O104" i="1"/>
  <c r="W104" i="1" s="1"/>
  <c r="N104" i="1"/>
  <c r="V104" i="1" s="1"/>
  <c r="K104" i="1"/>
  <c r="M104" i="1" s="1"/>
  <c r="J104" i="1"/>
  <c r="I104" i="1"/>
  <c r="H104" i="1"/>
  <c r="E104" i="1"/>
  <c r="D104" i="1"/>
  <c r="C104" i="1"/>
  <c r="B104" i="1"/>
  <c r="AO103" i="1"/>
  <c r="AN103" i="1"/>
  <c r="AI103" i="1"/>
  <c r="AH103" i="1"/>
  <c r="AJ103" i="1" s="1"/>
  <c r="AG103" i="1"/>
  <c r="AF103" i="1"/>
  <c r="AC103" i="1"/>
  <c r="AB103" i="1"/>
  <c r="AA103" i="1"/>
  <c r="Z103" i="1"/>
  <c r="W103" i="1"/>
  <c r="U103" i="1"/>
  <c r="T103" i="1"/>
  <c r="O103" i="1"/>
  <c r="Q103" i="1" s="1"/>
  <c r="N103" i="1"/>
  <c r="I103" i="1"/>
  <c r="H103" i="1"/>
  <c r="D103" i="1"/>
  <c r="C103" i="1"/>
  <c r="B103" i="1"/>
  <c r="J103" i="1" s="1"/>
  <c r="AM102" i="1"/>
  <c r="AO102" i="1" s="1"/>
  <c r="AL102" i="1"/>
  <c r="AF102" i="1"/>
  <c r="AE102" i="1"/>
  <c r="AG102" i="1" s="1"/>
  <c r="AD102" i="1"/>
  <c r="U102" i="1"/>
  <c r="T102" i="1"/>
  <c r="S102" i="1"/>
  <c r="R102" i="1"/>
  <c r="G102" i="1"/>
  <c r="I102" i="1" s="1"/>
  <c r="F102" i="1"/>
  <c r="H102" i="1" s="1"/>
  <c r="AQ101" i="1"/>
  <c r="AS101" i="1" s="1"/>
  <c r="AO101" i="1"/>
  <c r="AN101" i="1"/>
  <c r="AI101" i="1"/>
  <c r="AK101" i="1" s="1"/>
  <c r="AH101" i="1"/>
  <c r="AJ101" i="1" s="1"/>
  <c r="AG101" i="1"/>
  <c r="AF101" i="1"/>
  <c r="AC101" i="1"/>
  <c r="AB101" i="1"/>
  <c r="W101" i="1"/>
  <c r="Y101" i="1" s="1"/>
  <c r="V101" i="1"/>
  <c r="U101" i="1"/>
  <c r="T101" i="1"/>
  <c r="Q101" i="1"/>
  <c r="P101" i="1"/>
  <c r="K101" i="1"/>
  <c r="M101" i="1" s="1"/>
  <c r="J101" i="1"/>
  <c r="L101" i="1" s="1"/>
  <c r="I101" i="1"/>
  <c r="H101" i="1"/>
  <c r="E101" i="1"/>
  <c r="D101" i="1"/>
  <c r="B101" i="1"/>
  <c r="AP100" i="1"/>
  <c r="AO100" i="1"/>
  <c r="AN100" i="1"/>
  <c r="AK100" i="1"/>
  <c r="AI100" i="1"/>
  <c r="AH100" i="1"/>
  <c r="AG100" i="1"/>
  <c r="AF100" i="1"/>
  <c r="AC100" i="1"/>
  <c r="AB100" i="1"/>
  <c r="Y100" i="1"/>
  <c r="W100" i="1"/>
  <c r="V100" i="1"/>
  <c r="U100" i="1"/>
  <c r="T100" i="1"/>
  <c r="Q100" i="1"/>
  <c r="P100" i="1"/>
  <c r="M100" i="1"/>
  <c r="K100" i="1"/>
  <c r="AQ100" i="1" s="1"/>
  <c r="AS100" i="1" s="1"/>
  <c r="J100" i="1"/>
  <c r="I100" i="1"/>
  <c r="H100" i="1"/>
  <c r="D100" i="1"/>
  <c r="C100" i="1"/>
  <c r="E100" i="1" s="1"/>
  <c r="B100" i="1"/>
  <c r="AP99" i="1"/>
  <c r="AO99" i="1"/>
  <c r="AN99" i="1"/>
  <c r="AK99" i="1"/>
  <c r="AI99" i="1"/>
  <c r="AH99" i="1"/>
  <c r="AJ99" i="1" s="1"/>
  <c r="AG99" i="1"/>
  <c r="AF99" i="1"/>
  <c r="AC99" i="1"/>
  <c r="AB99" i="1"/>
  <c r="W99" i="1"/>
  <c r="Y99" i="1" s="1"/>
  <c r="V99" i="1"/>
  <c r="U99" i="1"/>
  <c r="T99" i="1"/>
  <c r="Q99" i="1"/>
  <c r="P99" i="1"/>
  <c r="J99" i="1"/>
  <c r="I99" i="1"/>
  <c r="H99" i="1"/>
  <c r="C99" i="1"/>
  <c r="D99" i="1" s="1"/>
  <c r="B99" i="1"/>
  <c r="AO98" i="1"/>
  <c r="AN98" i="1"/>
  <c r="AH98" i="1"/>
  <c r="AG98" i="1"/>
  <c r="AF98" i="1"/>
  <c r="AB98" i="1"/>
  <c r="AA98" i="1"/>
  <c r="AC98" i="1" s="1"/>
  <c r="Z98" i="1"/>
  <c r="V98" i="1"/>
  <c r="U98" i="1"/>
  <c r="T98" i="1"/>
  <c r="O98" i="1"/>
  <c r="W98" i="1" s="1"/>
  <c r="N98" i="1"/>
  <c r="M98" i="1"/>
  <c r="K98" i="1"/>
  <c r="J98" i="1"/>
  <c r="AP98" i="1" s="1"/>
  <c r="I98" i="1"/>
  <c r="H98" i="1"/>
  <c r="E98" i="1"/>
  <c r="D98" i="1"/>
  <c r="AO97" i="1"/>
  <c r="AN97" i="1"/>
  <c r="AI97" i="1"/>
  <c r="AK97" i="1" s="1"/>
  <c r="AH97" i="1"/>
  <c r="AJ97" i="1" s="1"/>
  <c r="AG97" i="1"/>
  <c r="AF97" i="1"/>
  <c r="AC97" i="1"/>
  <c r="AB97" i="1"/>
  <c r="W97" i="1"/>
  <c r="Y97" i="1" s="1"/>
  <c r="V97" i="1"/>
  <c r="X97" i="1" s="1"/>
  <c r="U97" i="1"/>
  <c r="T97" i="1"/>
  <c r="O97" i="1"/>
  <c r="Q97" i="1" s="1"/>
  <c r="N97" i="1"/>
  <c r="M97" i="1"/>
  <c r="K97" i="1"/>
  <c r="J97" i="1"/>
  <c r="I97" i="1"/>
  <c r="H97" i="1"/>
  <c r="E97" i="1"/>
  <c r="D97" i="1"/>
  <c r="AP96" i="1"/>
  <c r="AO96" i="1"/>
  <c r="AN96" i="1"/>
  <c r="AK96" i="1"/>
  <c r="AI96" i="1"/>
  <c r="AH96" i="1"/>
  <c r="AJ96" i="1" s="1"/>
  <c r="AG96" i="1"/>
  <c r="AF96" i="1"/>
  <c r="AC96" i="1"/>
  <c r="AB96" i="1"/>
  <c r="W96" i="1"/>
  <c r="Y96" i="1" s="1"/>
  <c r="V96" i="1"/>
  <c r="U96" i="1"/>
  <c r="T96" i="1"/>
  <c r="Q96" i="1"/>
  <c r="P96" i="1"/>
  <c r="J96" i="1"/>
  <c r="I96" i="1"/>
  <c r="H96" i="1"/>
  <c r="E96" i="1"/>
  <c r="C96" i="1"/>
  <c r="K96" i="1" s="1"/>
  <c r="M96" i="1" s="1"/>
  <c r="B96" i="1"/>
  <c r="AO95" i="1"/>
  <c r="AN95" i="1"/>
  <c r="AI95" i="1"/>
  <c r="AK95" i="1" s="1"/>
  <c r="AH95" i="1"/>
  <c r="AG95" i="1"/>
  <c r="AF95" i="1"/>
  <c r="AA95" i="1"/>
  <c r="AC95" i="1" s="1"/>
  <c r="Z95" i="1"/>
  <c r="U95" i="1"/>
  <c r="T95" i="1"/>
  <c r="Q95" i="1"/>
  <c r="O95" i="1"/>
  <c r="W95" i="1" s="1"/>
  <c r="N95" i="1"/>
  <c r="I95" i="1"/>
  <c r="H95" i="1"/>
  <c r="E95" i="1"/>
  <c r="C95" i="1"/>
  <c r="K95" i="1" s="1"/>
  <c r="B95" i="1"/>
  <c r="J95" i="1" s="1"/>
  <c r="AO94" i="1"/>
  <c r="AN94" i="1"/>
  <c r="AI94" i="1"/>
  <c r="AK94" i="1" s="1"/>
  <c r="AH94" i="1"/>
  <c r="AG94" i="1"/>
  <c r="AF94" i="1"/>
  <c r="AC94" i="1"/>
  <c r="AB94" i="1"/>
  <c r="W94" i="1"/>
  <c r="Y94" i="1" s="1"/>
  <c r="V94" i="1"/>
  <c r="U94" i="1"/>
  <c r="T94" i="1"/>
  <c r="Q94" i="1"/>
  <c r="P94" i="1"/>
  <c r="K94" i="1"/>
  <c r="I94" i="1"/>
  <c r="H94" i="1"/>
  <c r="C94" i="1"/>
  <c r="B94" i="1"/>
  <c r="AO93" i="1"/>
  <c r="AN93" i="1"/>
  <c r="AI93" i="1"/>
  <c r="AG93" i="1"/>
  <c r="AF93" i="1"/>
  <c r="AC93" i="1"/>
  <c r="AA93" i="1"/>
  <c r="Z93" i="1"/>
  <c r="AB93" i="1" s="1"/>
  <c r="W93" i="1"/>
  <c r="Y93" i="1" s="1"/>
  <c r="V93" i="1"/>
  <c r="X93" i="1" s="1"/>
  <c r="U93" i="1"/>
  <c r="T93" i="1"/>
  <c r="Q93" i="1"/>
  <c r="N93" i="1"/>
  <c r="P93" i="1" s="1"/>
  <c r="K93" i="1"/>
  <c r="M93" i="1" s="1"/>
  <c r="J93" i="1"/>
  <c r="L93" i="1" s="1"/>
  <c r="I93" i="1"/>
  <c r="H93" i="1"/>
  <c r="E93" i="1"/>
  <c r="D93" i="1"/>
  <c r="AO92" i="1"/>
  <c r="AN92" i="1"/>
  <c r="AK92" i="1"/>
  <c r="AI92" i="1"/>
  <c r="AH92" i="1"/>
  <c r="AJ92" i="1" s="1"/>
  <c r="AG92" i="1"/>
  <c r="AF92" i="1"/>
  <c r="AC92" i="1"/>
  <c r="AB92" i="1"/>
  <c r="U92" i="1"/>
  <c r="T92" i="1"/>
  <c r="Q92" i="1"/>
  <c r="P92" i="1"/>
  <c r="O92" i="1"/>
  <c r="W92" i="1" s="1"/>
  <c r="AQ92" i="1" s="1"/>
  <c r="N92" i="1"/>
  <c r="V92" i="1" s="1"/>
  <c r="K92" i="1"/>
  <c r="M92" i="1" s="1"/>
  <c r="J92" i="1"/>
  <c r="L92" i="1" s="1"/>
  <c r="I92" i="1"/>
  <c r="H92" i="1"/>
  <c r="E92" i="1"/>
  <c r="D92" i="1"/>
  <c r="AQ91" i="1"/>
  <c r="AS91" i="1" s="1"/>
  <c r="AO91" i="1"/>
  <c r="AN91" i="1"/>
  <c r="AK91" i="1"/>
  <c r="AJ91" i="1"/>
  <c r="AI91" i="1"/>
  <c r="AH91" i="1"/>
  <c r="AG91" i="1"/>
  <c r="AF91" i="1"/>
  <c r="AC91" i="1"/>
  <c r="AB91" i="1"/>
  <c r="Y91" i="1"/>
  <c r="X91" i="1"/>
  <c r="W91" i="1"/>
  <c r="V91" i="1"/>
  <c r="U91" i="1"/>
  <c r="T91" i="1"/>
  <c r="Q91" i="1"/>
  <c r="P91" i="1"/>
  <c r="M91" i="1"/>
  <c r="L91" i="1"/>
  <c r="K91" i="1"/>
  <c r="J91" i="1"/>
  <c r="AP91" i="1" s="1"/>
  <c r="AR91" i="1" s="1"/>
  <c r="I91" i="1"/>
  <c r="H91" i="1"/>
  <c r="E91" i="1"/>
  <c r="D91" i="1"/>
  <c r="AO90" i="1"/>
  <c r="AM90" i="1"/>
  <c r="AG90" i="1"/>
  <c r="AF90" i="1"/>
  <c r="AE90" i="1"/>
  <c r="AD90" i="1"/>
  <c r="AD105" i="1" s="1"/>
  <c r="Z90" i="1"/>
  <c r="S90" i="1"/>
  <c r="U90" i="1" s="1"/>
  <c r="R90" i="1"/>
  <c r="O90" i="1"/>
  <c r="I90" i="1"/>
  <c r="G90" i="1"/>
  <c r="G105" i="1" s="1"/>
  <c r="I105" i="1" s="1"/>
  <c r="F90" i="1"/>
  <c r="F105" i="1" s="1"/>
  <c r="H105" i="1" s="1"/>
  <c r="AO89" i="1"/>
  <c r="AL89" i="1"/>
  <c r="AN89" i="1" s="1"/>
  <c r="AJ89" i="1"/>
  <c r="AI89" i="1"/>
  <c r="AK89" i="1" s="1"/>
  <c r="AH89" i="1"/>
  <c r="AG89" i="1"/>
  <c r="AF89" i="1"/>
  <c r="AA89" i="1"/>
  <c r="AC89" i="1" s="1"/>
  <c r="Z89" i="1"/>
  <c r="X89" i="1"/>
  <c r="U89" i="1"/>
  <c r="T89" i="1"/>
  <c r="Q89" i="1"/>
  <c r="P89" i="1"/>
  <c r="O89" i="1"/>
  <c r="W89" i="1" s="1"/>
  <c r="Y89" i="1" s="1"/>
  <c r="N89" i="1"/>
  <c r="V89" i="1" s="1"/>
  <c r="J89" i="1"/>
  <c r="I89" i="1"/>
  <c r="H89" i="1"/>
  <c r="E89" i="1"/>
  <c r="D89" i="1"/>
  <c r="C89" i="1"/>
  <c r="K89" i="1" s="1"/>
  <c r="M89" i="1" s="1"/>
  <c r="B89" i="1"/>
  <c r="AO88" i="1"/>
  <c r="AN88" i="1"/>
  <c r="AL88" i="1"/>
  <c r="AL90" i="1" s="1"/>
  <c r="AI88" i="1"/>
  <c r="AK88" i="1" s="1"/>
  <c r="AH88" i="1"/>
  <c r="AJ88" i="1" s="1"/>
  <c r="AG88" i="1"/>
  <c r="AF88" i="1"/>
  <c r="AC88" i="1"/>
  <c r="AA88" i="1"/>
  <c r="Z88" i="1"/>
  <c r="AB88" i="1" s="1"/>
  <c r="W88" i="1"/>
  <c r="U88" i="1"/>
  <c r="T88" i="1"/>
  <c r="O88" i="1"/>
  <c r="N88" i="1"/>
  <c r="K88" i="1"/>
  <c r="I88" i="1"/>
  <c r="H88" i="1"/>
  <c r="C88" i="1"/>
  <c r="B88" i="1"/>
  <c r="AS87" i="1"/>
  <c r="AO87" i="1"/>
  <c r="AN87" i="1"/>
  <c r="AK87" i="1"/>
  <c r="AJ87" i="1"/>
  <c r="AI87" i="1"/>
  <c r="AH87" i="1"/>
  <c r="AG87" i="1"/>
  <c r="AF87" i="1"/>
  <c r="AC87" i="1"/>
  <c r="AB87" i="1"/>
  <c r="Y87" i="1"/>
  <c r="X87" i="1"/>
  <c r="W87" i="1"/>
  <c r="V87" i="1"/>
  <c r="U87" i="1"/>
  <c r="T87" i="1"/>
  <c r="Q87" i="1"/>
  <c r="P87" i="1"/>
  <c r="M87" i="1"/>
  <c r="L87" i="1"/>
  <c r="K87" i="1"/>
  <c r="AQ87" i="1" s="1"/>
  <c r="J87" i="1"/>
  <c r="AP87" i="1" s="1"/>
  <c r="AR87" i="1" s="1"/>
  <c r="I87" i="1"/>
  <c r="H87" i="1"/>
  <c r="E87" i="1"/>
  <c r="D87" i="1"/>
  <c r="AO86" i="1"/>
  <c r="AN86" i="1"/>
  <c r="AJ86" i="1"/>
  <c r="AI86" i="1"/>
  <c r="AK86" i="1" s="1"/>
  <c r="AH86" i="1"/>
  <c r="AG86" i="1"/>
  <c r="AF86" i="1"/>
  <c r="AC86" i="1"/>
  <c r="AB86" i="1"/>
  <c r="W86" i="1"/>
  <c r="Y86" i="1" s="1"/>
  <c r="V86" i="1"/>
  <c r="U86" i="1"/>
  <c r="T86" i="1"/>
  <c r="Q86" i="1"/>
  <c r="P86" i="1"/>
  <c r="K86" i="1"/>
  <c r="J86" i="1"/>
  <c r="I86" i="1"/>
  <c r="H86" i="1"/>
  <c r="E86" i="1"/>
  <c r="D86" i="1"/>
  <c r="AO85" i="1"/>
  <c r="AN85" i="1"/>
  <c r="AI85" i="1"/>
  <c r="AK85" i="1" s="1"/>
  <c r="AH85" i="1"/>
  <c r="AJ85" i="1" s="1"/>
  <c r="AG85" i="1"/>
  <c r="AF85" i="1"/>
  <c r="AC85" i="1"/>
  <c r="AB85" i="1"/>
  <c r="Z85" i="1"/>
  <c r="W85" i="1"/>
  <c r="Y85" i="1" s="1"/>
  <c r="V85" i="1"/>
  <c r="X85" i="1" s="1"/>
  <c r="U85" i="1"/>
  <c r="T85" i="1"/>
  <c r="Q85" i="1"/>
  <c r="N85" i="1"/>
  <c r="P85" i="1" s="1"/>
  <c r="K85" i="1"/>
  <c r="J85" i="1"/>
  <c r="I85" i="1"/>
  <c r="H85" i="1"/>
  <c r="C85" i="1"/>
  <c r="E85" i="1" s="1"/>
  <c r="B85" i="1"/>
  <c r="D85" i="1" s="1"/>
  <c r="AD84" i="1"/>
  <c r="K84" i="1"/>
  <c r="C84" i="1"/>
  <c r="AO83" i="1"/>
  <c r="AN83" i="1"/>
  <c r="AK83" i="1"/>
  <c r="AH83" i="1"/>
  <c r="AG83" i="1"/>
  <c r="AF83" i="1"/>
  <c r="AC83" i="1"/>
  <c r="AA83" i="1"/>
  <c r="AI83" i="1" s="1"/>
  <c r="AJ83" i="1" s="1"/>
  <c r="V83" i="1"/>
  <c r="X83" i="1" s="1"/>
  <c r="U83" i="1"/>
  <c r="T83" i="1"/>
  <c r="Q83" i="1"/>
  <c r="P83" i="1"/>
  <c r="O83" i="1"/>
  <c r="W83" i="1" s="1"/>
  <c r="Y83" i="1" s="1"/>
  <c r="K83" i="1"/>
  <c r="J83" i="1"/>
  <c r="L83" i="1" s="1"/>
  <c r="I83" i="1"/>
  <c r="H83" i="1"/>
  <c r="E83" i="1"/>
  <c r="D83" i="1"/>
  <c r="C83" i="1"/>
  <c r="AO82" i="1"/>
  <c r="AM82" i="1"/>
  <c r="AG82" i="1"/>
  <c r="AF82" i="1"/>
  <c r="AE82" i="1"/>
  <c r="AD82" i="1"/>
  <c r="AA82" i="1"/>
  <c r="S82" i="1"/>
  <c r="U82" i="1" s="1"/>
  <c r="R82" i="1"/>
  <c r="K82" i="1"/>
  <c r="J82" i="1"/>
  <c r="I82" i="1"/>
  <c r="H82" i="1"/>
  <c r="G82" i="1"/>
  <c r="F82" i="1"/>
  <c r="C82" i="1"/>
  <c r="B82" i="1"/>
  <c r="D82" i="1" s="1"/>
  <c r="AO81" i="1"/>
  <c r="AL81" i="1"/>
  <c r="AG81" i="1"/>
  <c r="AF81" i="1"/>
  <c r="AA81" i="1"/>
  <c r="Z81" i="1"/>
  <c r="U81" i="1"/>
  <c r="T81" i="1"/>
  <c r="P81" i="1"/>
  <c r="O81" i="1"/>
  <c r="N81" i="1"/>
  <c r="N82" i="1" s="1"/>
  <c r="K81" i="1"/>
  <c r="M81" i="1" s="1"/>
  <c r="J81" i="1"/>
  <c r="I81" i="1"/>
  <c r="H81" i="1"/>
  <c r="E81" i="1"/>
  <c r="C81" i="1"/>
  <c r="B81" i="1"/>
  <c r="D81" i="1" s="1"/>
  <c r="AQ80" i="1"/>
  <c r="AO80" i="1"/>
  <c r="AN80" i="1"/>
  <c r="AI80" i="1"/>
  <c r="AK80" i="1" s="1"/>
  <c r="AH80" i="1"/>
  <c r="AJ80" i="1" s="1"/>
  <c r="AG80" i="1"/>
  <c r="AF80" i="1"/>
  <c r="AC80" i="1"/>
  <c r="AB80" i="1"/>
  <c r="W80" i="1"/>
  <c r="Y80" i="1" s="1"/>
  <c r="V80" i="1"/>
  <c r="X80" i="1" s="1"/>
  <c r="U80" i="1"/>
  <c r="T80" i="1"/>
  <c r="Q80" i="1"/>
  <c r="P80" i="1"/>
  <c r="K80" i="1"/>
  <c r="M80" i="1" s="1"/>
  <c r="J80" i="1"/>
  <c r="L80" i="1" s="1"/>
  <c r="I80" i="1"/>
  <c r="H80" i="1"/>
  <c r="E80" i="1"/>
  <c r="C80" i="1"/>
  <c r="B80" i="1"/>
  <c r="D80" i="1" s="1"/>
  <c r="AQ79" i="1"/>
  <c r="AS79" i="1" s="1"/>
  <c r="AO79" i="1"/>
  <c r="AN79" i="1"/>
  <c r="AI79" i="1"/>
  <c r="AK79" i="1" s="1"/>
  <c r="AH79" i="1"/>
  <c r="AJ79" i="1" s="1"/>
  <c r="AG79" i="1"/>
  <c r="AF79" i="1"/>
  <c r="AC79" i="1"/>
  <c r="AB79" i="1"/>
  <c r="W79" i="1"/>
  <c r="Y79" i="1" s="1"/>
  <c r="V79" i="1"/>
  <c r="X79" i="1" s="1"/>
  <c r="U79" i="1"/>
  <c r="T79" i="1"/>
  <c r="Q79" i="1"/>
  <c r="P79" i="1"/>
  <c r="K79" i="1"/>
  <c r="M79" i="1" s="1"/>
  <c r="J79" i="1"/>
  <c r="L79" i="1" s="1"/>
  <c r="I79" i="1"/>
  <c r="H79" i="1"/>
  <c r="E79" i="1"/>
  <c r="D79" i="1"/>
  <c r="AO78" i="1"/>
  <c r="AM78" i="1"/>
  <c r="AM84" i="1" s="1"/>
  <c r="AO84" i="1" s="1"/>
  <c r="AE78" i="1"/>
  <c r="AD78" i="1"/>
  <c r="Z78" i="1"/>
  <c r="S78" i="1"/>
  <c r="U78" i="1" s="1"/>
  <c r="R78" i="1"/>
  <c r="O78" i="1"/>
  <c r="I78" i="1"/>
  <c r="G78" i="1"/>
  <c r="G84" i="1" s="1"/>
  <c r="I84" i="1" s="1"/>
  <c r="C78" i="1"/>
  <c r="B78" i="1"/>
  <c r="AO77" i="1"/>
  <c r="AL77" i="1"/>
  <c r="AN77" i="1" s="1"/>
  <c r="AI77" i="1"/>
  <c r="AH77" i="1"/>
  <c r="AG77" i="1"/>
  <c r="AF77" i="1"/>
  <c r="AA77" i="1"/>
  <c r="Z77" i="1"/>
  <c r="U77" i="1"/>
  <c r="T77" i="1"/>
  <c r="Q77" i="1"/>
  <c r="P77" i="1"/>
  <c r="O77" i="1"/>
  <c r="W77" i="1" s="1"/>
  <c r="N77" i="1"/>
  <c r="K77" i="1"/>
  <c r="I77" i="1"/>
  <c r="F77" i="1"/>
  <c r="E77" i="1"/>
  <c r="C77" i="1"/>
  <c r="B77" i="1"/>
  <c r="AQ76" i="1"/>
  <c r="AO76" i="1"/>
  <c r="AN76" i="1"/>
  <c r="AI76" i="1"/>
  <c r="AK76" i="1" s="1"/>
  <c r="AH76" i="1"/>
  <c r="AJ76" i="1" s="1"/>
  <c r="AG76" i="1"/>
  <c r="AF76" i="1"/>
  <c r="AC76" i="1"/>
  <c r="AB76" i="1"/>
  <c r="W76" i="1"/>
  <c r="Y76" i="1" s="1"/>
  <c r="V76" i="1"/>
  <c r="X76" i="1" s="1"/>
  <c r="U76" i="1"/>
  <c r="T76" i="1"/>
  <c r="Q76" i="1"/>
  <c r="P76" i="1"/>
  <c r="K76" i="1"/>
  <c r="J76" i="1"/>
  <c r="L76" i="1" s="1"/>
  <c r="I76" i="1"/>
  <c r="H76" i="1"/>
  <c r="E76" i="1"/>
  <c r="C76" i="1"/>
  <c r="B76" i="1"/>
  <c r="D76" i="1" s="1"/>
  <c r="AO75" i="1"/>
  <c r="AN75" i="1"/>
  <c r="AI75" i="1"/>
  <c r="AK75" i="1" s="1"/>
  <c r="AH75" i="1"/>
  <c r="AJ75" i="1" s="1"/>
  <c r="AG75" i="1"/>
  <c r="AF75" i="1"/>
  <c r="AC75" i="1"/>
  <c r="AB75" i="1"/>
  <c r="X75" i="1"/>
  <c r="W75" i="1"/>
  <c r="Y75" i="1" s="1"/>
  <c r="V75" i="1"/>
  <c r="U75" i="1"/>
  <c r="T75" i="1"/>
  <c r="Q75" i="1"/>
  <c r="P75" i="1"/>
  <c r="K75" i="1"/>
  <c r="J75" i="1"/>
  <c r="I75" i="1"/>
  <c r="H75" i="1"/>
  <c r="E75" i="1"/>
  <c r="D75" i="1"/>
  <c r="AQ74" i="1"/>
  <c r="AS74" i="1" s="1"/>
  <c r="AP74" i="1"/>
  <c r="AR74" i="1" s="1"/>
  <c r="AO74" i="1"/>
  <c r="AN74" i="1"/>
  <c r="AK74" i="1"/>
  <c r="AJ74" i="1"/>
  <c r="AI74" i="1"/>
  <c r="AH74" i="1"/>
  <c r="AG74" i="1"/>
  <c r="AF74" i="1"/>
  <c r="AC74" i="1"/>
  <c r="AB74" i="1"/>
  <c r="Y74" i="1"/>
  <c r="X74" i="1"/>
  <c r="W74" i="1"/>
  <c r="V74" i="1"/>
  <c r="U74" i="1"/>
  <c r="T74" i="1"/>
  <c r="Q74" i="1"/>
  <c r="P74" i="1"/>
  <c r="M74" i="1"/>
  <c r="L74" i="1"/>
  <c r="K74" i="1"/>
  <c r="J74" i="1"/>
  <c r="I74" i="1"/>
  <c r="H74" i="1"/>
  <c r="E74" i="1"/>
  <c r="D74" i="1"/>
  <c r="AD73" i="1"/>
  <c r="Z73" i="1"/>
  <c r="J73" i="1"/>
  <c r="B73" i="1"/>
  <c r="AO72" i="1"/>
  <c r="AN72" i="1"/>
  <c r="AI72" i="1"/>
  <c r="AH72" i="1"/>
  <c r="AJ72" i="1" s="1"/>
  <c r="AG72" i="1"/>
  <c r="AF72" i="1"/>
  <c r="AC72" i="1"/>
  <c r="AB72" i="1"/>
  <c r="W72" i="1"/>
  <c r="Y72" i="1" s="1"/>
  <c r="V72" i="1"/>
  <c r="U72" i="1"/>
  <c r="T72" i="1"/>
  <c r="Q72" i="1"/>
  <c r="P72" i="1"/>
  <c r="K72" i="1"/>
  <c r="J72" i="1"/>
  <c r="L72" i="1" s="1"/>
  <c r="I72" i="1"/>
  <c r="H72" i="1"/>
  <c r="E72" i="1"/>
  <c r="D72" i="1"/>
  <c r="C72" i="1"/>
  <c r="AM71" i="1"/>
  <c r="AL71" i="1"/>
  <c r="AH71" i="1"/>
  <c r="AG71" i="1"/>
  <c r="AF71" i="1"/>
  <c r="AE71" i="1"/>
  <c r="AD71" i="1"/>
  <c r="Z71" i="1"/>
  <c r="U71" i="1"/>
  <c r="S71" i="1"/>
  <c r="R71" i="1"/>
  <c r="T71" i="1" s="1"/>
  <c r="G71" i="1"/>
  <c r="I71" i="1" s="1"/>
  <c r="F71" i="1"/>
  <c r="E71" i="1"/>
  <c r="D71" i="1"/>
  <c r="C71" i="1"/>
  <c r="B71" i="1"/>
  <c r="J71" i="1" s="1"/>
  <c r="AO70" i="1"/>
  <c r="AN70" i="1"/>
  <c r="AH70" i="1"/>
  <c r="AG70" i="1"/>
  <c r="AF70" i="1"/>
  <c r="AC70" i="1"/>
  <c r="AB70" i="1"/>
  <c r="AA70" i="1"/>
  <c r="AI70" i="1" s="1"/>
  <c r="AK70" i="1" s="1"/>
  <c r="Z70" i="1"/>
  <c r="W70" i="1"/>
  <c r="V70" i="1"/>
  <c r="U70" i="1"/>
  <c r="T70" i="1"/>
  <c r="Q70" i="1"/>
  <c r="P70" i="1"/>
  <c r="K70" i="1"/>
  <c r="AQ70" i="1" s="1"/>
  <c r="AS70" i="1" s="1"/>
  <c r="J70" i="1"/>
  <c r="AP70" i="1" s="1"/>
  <c r="I70" i="1"/>
  <c r="H70" i="1"/>
  <c r="E70" i="1"/>
  <c r="D70" i="1"/>
  <c r="AO69" i="1"/>
  <c r="AN69" i="1"/>
  <c r="AK69" i="1"/>
  <c r="AJ69" i="1"/>
  <c r="AI69" i="1"/>
  <c r="AH69" i="1"/>
  <c r="AG69" i="1"/>
  <c r="AF69" i="1"/>
  <c r="AC69" i="1"/>
  <c r="AB69" i="1"/>
  <c r="U69" i="1"/>
  <c r="T69" i="1"/>
  <c r="O69" i="1"/>
  <c r="N69" i="1"/>
  <c r="N71" i="1" s="1"/>
  <c r="V71" i="1" s="1"/>
  <c r="K69" i="1"/>
  <c r="M69" i="1" s="1"/>
  <c r="J69" i="1"/>
  <c r="I69" i="1"/>
  <c r="H69" i="1"/>
  <c r="E69" i="1"/>
  <c r="D69" i="1"/>
  <c r="AO68" i="1"/>
  <c r="AN68" i="1"/>
  <c r="AK68" i="1"/>
  <c r="AJ68" i="1"/>
  <c r="AI68" i="1"/>
  <c r="AH68" i="1"/>
  <c r="AG68" i="1"/>
  <c r="AF68" i="1"/>
  <c r="AC68" i="1"/>
  <c r="AB68" i="1"/>
  <c r="Y68" i="1"/>
  <c r="X68" i="1"/>
  <c r="W68" i="1"/>
  <c r="V68" i="1"/>
  <c r="U68" i="1"/>
  <c r="T68" i="1"/>
  <c r="Q68" i="1"/>
  <c r="P68" i="1"/>
  <c r="M68" i="1"/>
  <c r="L68" i="1"/>
  <c r="K68" i="1"/>
  <c r="AQ68" i="1" s="1"/>
  <c r="AS68" i="1" s="1"/>
  <c r="J68" i="1"/>
  <c r="AP68" i="1" s="1"/>
  <c r="I68" i="1"/>
  <c r="H68" i="1"/>
  <c r="E68" i="1"/>
  <c r="D68" i="1"/>
  <c r="AO67" i="1"/>
  <c r="AN67" i="1"/>
  <c r="AI67" i="1"/>
  <c r="AH67" i="1"/>
  <c r="AJ67" i="1" s="1"/>
  <c r="AG67" i="1"/>
  <c r="AF67" i="1"/>
  <c r="AA67" i="1"/>
  <c r="AB67" i="1" s="1"/>
  <c r="W67" i="1"/>
  <c r="V67" i="1"/>
  <c r="X67" i="1" s="1"/>
  <c r="U67" i="1"/>
  <c r="T67" i="1"/>
  <c r="O67" i="1"/>
  <c r="Q67" i="1" s="1"/>
  <c r="J67" i="1"/>
  <c r="I67" i="1"/>
  <c r="H67" i="1"/>
  <c r="C67" i="1"/>
  <c r="AO66" i="1"/>
  <c r="AL66" i="1"/>
  <c r="AN66" i="1" s="1"/>
  <c r="AK66" i="1"/>
  <c r="AJ66" i="1"/>
  <c r="AI66" i="1"/>
  <c r="AH66" i="1"/>
  <c r="AG66" i="1"/>
  <c r="AF66" i="1"/>
  <c r="AA66" i="1"/>
  <c r="AC66" i="1" s="1"/>
  <c r="Z66" i="1"/>
  <c r="U66" i="1"/>
  <c r="T66" i="1"/>
  <c r="P66" i="1"/>
  <c r="O66" i="1"/>
  <c r="N66" i="1"/>
  <c r="V66" i="1" s="1"/>
  <c r="M66" i="1"/>
  <c r="K66" i="1"/>
  <c r="I66" i="1"/>
  <c r="H66" i="1"/>
  <c r="E66" i="1"/>
  <c r="D66" i="1"/>
  <c r="B66" i="1"/>
  <c r="J66" i="1" s="1"/>
  <c r="AM65" i="1"/>
  <c r="AO65" i="1" s="1"/>
  <c r="AL65" i="1"/>
  <c r="AN65" i="1" s="1"/>
  <c r="AI65" i="1"/>
  <c r="AK65" i="1" s="1"/>
  <c r="AE65" i="1"/>
  <c r="AG65" i="1" s="1"/>
  <c r="AD65" i="1"/>
  <c r="AF65" i="1" s="1"/>
  <c r="AA65" i="1"/>
  <c r="AC65" i="1" s="1"/>
  <c r="Z65" i="1"/>
  <c r="S65" i="1"/>
  <c r="R65" i="1"/>
  <c r="Q65" i="1"/>
  <c r="P65" i="1"/>
  <c r="O65" i="1"/>
  <c r="N65" i="1"/>
  <c r="K65" i="1"/>
  <c r="J65" i="1"/>
  <c r="I65" i="1"/>
  <c r="H65" i="1"/>
  <c r="G65" i="1"/>
  <c r="F65" i="1"/>
  <c r="F73" i="1" s="1"/>
  <c r="C65" i="1"/>
  <c r="B65" i="1"/>
  <c r="D65" i="1" s="1"/>
  <c r="AO64" i="1"/>
  <c r="AN64" i="1"/>
  <c r="AJ64" i="1"/>
  <c r="AI64" i="1"/>
  <c r="AK64" i="1" s="1"/>
  <c r="AH64" i="1"/>
  <c r="AG64" i="1"/>
  <c r="AF64" i="1"/>
  <c r="AC64" i="1"/>
  <c r="AB64" i="1"/>
  <c r="X64" i="1"/>
  <c r="W64" i="1"/>
  <c r="Y64" i="1" s="1"/>
  <c r="V64" i="1"/>
  <c r="U64" i="1"/>
  <c r="T64" i="1"/>
  <c r="Q64" i="1"/>
  <c r="P64" i="1"/>
  <c r="K64" i="1"/>
  <c r="M64" i="1" s="1"/>
  <c r="J64" i="1"/>
  <c r="AP64" i="1" s="1"/>
  <c r="I64" i="1"/>
  <c r="H64" i="1"/>
  <c r="C64" i="1"/>
  <c r="B64" i="1"/>
  <c r="D64" i="1" s="1"/>
  <c r="AQ63" i="1"/>
  <c r="AS63" i="1" s="1"/>
  <c r="AO63" i="1"/>
  <c r="AN63" i="1"/>
  <c r="AI63" i="1"/>
  <c r="AK63" i="1" s="1"/>
  <c r="AH63" i="1"/>
  <c r="AJ63" i="1" s="1"/>
  <c r="AG63" i="1"/>
  <c r="AF63" i="1"/>
  <c r="AC63" i="1"/>
  <c r="AB63" i="1"/>
  <c r="W63" i="1"/>
  <c r="Y63" i="1" s="1"/>
  <c r="V63" i="1"/>
  <c r="X63" i="1" s="1"/>
  <c r="U63" i="1"/>
  <c r="T63" i="1"/>
  <c r="Q63" i="1"/>
  <c r="P63" i="1"/>
  <c r="K63" i="1"/>
  <c r="M63" i="1" s="1"/>
  <c r="J63" i="1"/>
  <c r="I63" i="1"/>
  <c r="H63" i="1"/>
  <c r="E63" i="1"/>
  <c r="D63" i="1"/>
  <c r="B63" i="1"/>
  <c r="AQ62" i="1"/>
  <c r="AS62" i="1" s="1"/>
  <c r="AO62" i="1"/>
  <c r="AN62" i="1"/>
  <c r="AI62" i="1"/>
  <c r="AK62" i="1" s="1"/>
  <c r="AH62" i="1"/>
  <c r="AJ62" i="1" s="1"/>
  <c r="AG62" i="1"/>
  <c r="AF62" i="1"/>
  <c r="AC62" i="1"/>
  <c r="AB62" i="1"/>
  <c r="W62" i="1"/>
  <c r="Y62" i="1" s="1"/>
  <c r="V62" i="1"/>
  <c r="X62" i="1" s="1"/>
  <c r="U62" i="1"/>
  <c r="T62" i="1"/>
  <c r="Q62" i="1"/>
  <c r="P62" i="1"/>
  <c r="K62" i="1"/>
  <c r="M62" i="1" s="1"/>
  <c r="J62" i="1"/>
  <c r="L62" i="1" s="1"/>
  <c r="I62" i="1"/>
  <c r="H62" i="1"/>
  <c r="E62" i="1"/>
  <c r="D62" i="1"/>
  <c r="AO61" i="1"/>
  <c r="AN61" i="1"/>
  <c r="AL61" i="1"/>
  <c r="AL73" i="1" s="1"/>
  <c r="AI61" i="1"/>
  <c r="AG61" i="1"/>
  <c r="AF61" i="1"/>
  <c r="AC61" i="1"/>
  <c r="AB61" i="1"/>
  <c r="AA61" i="1"/>
  <c r="Z61" i="1"/>
  <c r="AH61" i="1" s="1"/>
  <c r="AJ61" i="1" s="1"/>
  <c r="W61" i="1"/>
  <c r="Y61" i="1" s="1"/>
  <c r="V61" i="1"/>
  <c r="X61" i="1" s="1"/>
  <c r="U61" i="1"/>
  <c r="T61" i="1"/>
  <c r="P61" i="1"/>
  <c r="O61" i="1"/>
  <c r="Q61" i="1" s="1"/>
  <c r="N61" i="1"/>
  <c r="K61" i="1"/>
  <c r="J61" i="1"/>
  <c r="I61" i="1"/>
  <c r="H61" i="1"/>
  <c r="E61" i="1"/>
  <c r="D61" i="1"/>
  <c r="AO60" i="1"/>
  <c r="AN60" i="1"/>
  <c r="AK60" i="1"/>
  <c r="AI60" i="1"/>
  <c r="AG60" i="1"/>
  <c r="AF60" i="1"/>
  <c r="AC60" i="1"/>
  <c r="AB60" i="1"/>
  <c r="Z60" i="1"/>
  <c r="AH60" i="1" s="1"/>
  <c r="AJ60" i="1" s="1"/>
  <c r="W60" i="1"/>
  <c r="Y60" i="1" s="1"/>
  <c r="V60" i="1"/>
  <c r="X60" i="1" s="1"/>
  <c r="U60" i="1"/>
  <c r="T60" i="1"/>
  <c r="Q60" i="1"/>
  <c r="P60" i="1"/>
  <c r="N60" i="1"/>
  <c r="N73" i="1" s="1"/>
  <c r="K60" i="1"/>
  <c r="M60" i="1" s="1"/>
  <c r="J60" i="1"/>
  <c r="I60" i="1"/>
  <c r="H60" i="1"/>
  <c r="E60" i="1"/>
  <c r="D60" i="1"/>
  <c r="B60" i="1"/>
  <c r="AQ59" i="1"/>
  <c r="AS59" i="1" s="1"/>
  <c r="AO59" i="1"/>
  <c r="AN59" i="1"/>
  <c r="AK59" i="1"/>
  <c r="AI59" i="1"/>
  <c r="AH59" i="1"/>
  <c r="AJ59" i="1" s="1"/>
  <c r="AG59" i="1"/>
  <c r="AF59" i="1"/>
  <c r="AC59" i="1"/>
  <c r="AB59" i="1"/>
  <c r="Y59" i="1"/>
  <c r="W59" i="1"/>
  <c r="V59" i="1"/>
  <c r="X59" i="1" s="1"/>
  <c r="U59" i="1"/>
  <c r="T59" i="1"/>
  <c r="Q59" i="1"/>
  <c r="P59" i="1"/>
  <c r="M59" i="1"/>
  <c r="K59" i="1"/>
  <c r="J59" i="1"/>
  <c r="I59" i="1"/>
  <c r="H59" i="1"/>
  <c r="E59" i="1"/>
  <c r="D59" i="1"/>
  <c r="AM56" i="1"/>
  <c r="AO56" i="1" s="1"/>
  <c r="AL56" i="1"/>
  <c r="AE56" i="1"/>
  <c r="AG56" i="1" s="1"/>
  <c r="AD56" i="1"/>
  <c r="S56" i="1"/>
  <c r="U56" i="1" s="1"/>
  <c r="R56" i="1"/>
  <c r="T56" i="1" s="1"/>
  <c r="I56" i="1"/>
  <c r="G56" i="1"/>
  <c r="K56" i="1" s="1"/>
  <c r="M56" i="1" s="1"/>
  <c r="F56" i="1"/>
  <c r="C56" i="1"/>
  <c r="E56" i="1" s="1"/>
  <c r="AO55" i="1"/>
  <c r="AM55" i="1"/>
  <c r="AL55" i="1"/>
  <c r="AN55" i="1" s="1"/>
  <c r="AE55" i="1"/>
  <c r="AG55" i="1" s="1"/>
  <c r="AD55" i="1"/>
  <c r="T55" i="1"/>
  <c r="S55" i="1"/>
  <c r="U55" i="1" s="1"/>
  <c r="R55" i="1"/>
  <c r="O55" i="1"/>
  <c r="N55" i="1"/>
  <c r="K55" i="1"/>
  <c r="M55" i="1" s="1"/>
  <c r="G55" i="1"/>
  <c r="I55" i="1" s="1"/>
  <c r="F55" i="1"/>
  <c r="H55" i="1" s="1"/>
  <c r="E55" i="1"/>
  <c r="D55" i="1"/>
  <c r="C55" i="1"/>
  <c r="B55" i="1"/>
  <c r="AO54" i="1"/>
  <c r="AN54" i="1"/>
  <c r="AI54" i="1"/>
  <c r="AG54" i="1"/>
  <c r="AF54" i="1"/>
  <c r="AA54" i="1"/>
  <c r="AC54" i="1" s="1"/>
  <c r="Z54" i="1"/>
  <c r="W54" i="1"/>
  <c r="V54" i="1"/>
  <c r="X54" i="1" s="1"/>
  <c r="U54" i="1"/>
  <c r="T54" i="1"/>
  <c r="Q54" i="1"/>
  <c r="P54" i="1"/>
  <c r="M54" i="1"/>
  <c r="K54" i="1"/>
  <c r="J54" i="1"/>
  <c r="I54" i="1"/>
  <c r="H54" i="1"/>
  <c r="E54" i="1"/>
  <c r="D54" i="1"/>
  <c r="AO53" i="1"/>
  <c r="AN53" i="1"/>
  <c r="AK53" i="1"/>
  <c r="AJ53" i="1"/>
  <c r="AI53" i="1"/>
  <c r="AH53" i="1"/>
  <c r="AG53" i="1"/>
  <c r="AF53" i="1"/>
  <c r="AC53" i="1"/>
  <c r="AB53" i="1"/>
  <c r="Y53" i="1"/>
  <c r="X53" i="1"/>
  <c r="W53" i="1"/>
  <c r="V53" i="1"/>
  <c r="U53" i="1"/>
  <c r="T53" i="1"/>
  <c r="Q53" i="1"/>
  <c r="P53" i="1"/>
  <c r="M53" i="1"/>
  <c r="L53" i="1"/>
  <c r="K53" i="1"/>
  <c r="AQ53" i="1" s="1"/>
  <c r="AS53" i="1" s="1"/>
  <c r="J53" i="1"/>
  <c r="AP53" i="1" s="1"/>
  <c r="I53" i="1"/>
  <c r="H53" i="1"/>
  <c r="E53" i="1"/>
  <c r="D53" i="1"/>
  <c r="AE49" i="1"/>
  <c r="AG49" i="1" s="1"/>
  <c r="AM48" i="1"/>
  <c r="AN48" i="1" s="1"/>
  <c r="AL48" i="1"/>
  <c r="AG48" i="1"/>
  <c r="AE48" i="1"/>
  <c r="AI48" i="1" s="1"/>
  <c r="AK48" i="1" s="1"/>
  <c r="AD48" i="1"/>
  <c r="AF48" i="1" s="1"/>
  <c r="AC48" i="1"/>
  <c r="AA48" i="1"/>
  <c r="W48" i="1"/>
  <c r="Y48" i="1" s="1"/>
  <c r="V48" i="1"/>
  <c r="X48" i="1" s="1"/>
  <c r="U48" i="1"/>
  <c r="S48" i="1"/>
  <c r="R48" i="1"/>
  <c r="O48" i="1"/>
  <c r="Q48" i="1" s="1"/>
  <c r="N48" i="1"/>
  <c r="P48" i="1" s="1"/>
  <c r="K48" i="1"/>
  <c r="AQ48" i="1" s="1"/>
  <c r="AS48" i="1" s="1"/>
  <c r="G48" i="1"/>
  <c r="I48" i="1" s="1"/>
  <c r="F48" i="1"/>
  <c r="H48" i="1" s="1"/>
  <c r="C48" i="1"/>
  <c r="E48" i="1" s="1"/>
  <c r="B48" i="1"/>
  <c r="AO47" i="1"/>
  <c r="AN47" i="1"/>
  <c r="AK47" i="1"/>
  <c r="AI47" i="1"/>
  <c r="AG47" i="1"/>
  <c r="AF47" i="1"/>
  <c r="AC47" i="1"/>
  <c r="Z47" i="1"/>
  <c r="Y47" i="1"/>
  <c r="X47" i="1"/>
  <c r="W47" i="1"/>
  <c r="V47" i="1"/>
  <c r="U47" i="1"/>
  <c r="T47" i="1"/>
  <c r="Q47" i="1"/>
  <c r="P47" i="1"/>
  <c r="M47" i="1"/>
  <c r="L47" i="1"/>
  <c r="K47" i="1"/>
  <c r="AQ47" i="1" s="1"/>
  <c r="AS47" i="1" s="1"/>
  <c r="J47" i="1"/>
  <c r="I47" i="1"/>
  <c r="H47" i="1"/>
  <c r="E47" i="1"/>
  <c r="D47" i="1"/>
  <c r="AO46" i="1"/>
  <c r="AN46" i="1"/>
  <c r="AI46" i="1"/>
  <c r="AK46" i="1" s="1"/>
  <c r="AH46" i="1"/>
  <c r="AJ46" i="1" s="1"/>
  <c r="AG46" i="1"/>
  <c r="AF46" i="1"/>
  <c r="AC46" i="1"/>
  <c r="AB46" i="1"/>
  <c r="W46" i="1"/>
  <c r="V46" i="1"/>
  <c r="U46" i="1"/>
  <c r="T46" i="1"/>
  <c r="Q46" i="1"/>
  <c r="P46" i="1"/>
  <c r="K46" i="1"/>
  <c r="M46" i="1" s="1"/>
  <c r="J46" i="1"/>
  <c r="I46" i="1"/>
  <c r="H46" i="1"/>
  <c r="E46" i="1"/>
  <c r="D46" i="1"/>
  <c r="AM45" i="1"/>
  <c r="AM49" i="1" s="1"/>
  <c r="AO49" i="1" s="1"/>
  <c r="AL45" i="1"/>
  <c r="AL49" i="1" s="1"/>
  <c r="AN49" i="1" s="1"/>
  <c r="AE45" i="1"/>
  <c r="AG45" i="1" s="1"/>
  <c r="S45" i="1"/>
  <c r="N45" i="1"/>
  <c r="C45" i="1"/>
  <c r="B45" i="1"/>
  <c r="B49" i="1" s="1"/>
  <c r="AO44" i="1"/>
  <c r="AN44" i="1"/>
  <c r="AI44" i="1"/>
  <c r="AK44" i="1" s="1"/>
  <c r="AH44" i="1"/>
  <c r="AG44" i="1"/>
  <c r="AF44" i="1"/>
  <c r="AA44" i="1"/>
  <c r="X44" i="1"/>
  <c r="W44" i="1"/>
  <c r="Y44" i="1" s="1"/>
  <c r="V44" i="1"/>
  <c r="U44" i="1"/>
  <c r="T44" i="1"/>
  <c r="Q44" i="1"/>
  <c r="P44" i="1"/>
  <c r="L44" i="1"/>
  <c r="K44" i="1"/>
  <c r="J44" i="1"/>
  <c r="AP44" i="1" s="1"/>
  <c r="I44" i="1"/>
  <c r="H44" i="1"/>
  <c r="E44" i="1"/>
  <c r="D44" i="1"/>
  <c r="AM43" i="1"/>
  <c r="AO43" i="1" s="1"/>
  <c r="AL43" i="1"/>
  <c r="AN43" i="1" s="1"/>
  <c r="AG43" i="1"/>
  <c r="AE43" i="1"/>
  <c r="AA43" i="1"/>
  <c r="AI43" i="1" s="1"/>
  <c r="S43" i="1"/>
  <c r="U43" i="1" s="1"/>
  <c r="R43" i="1"/>
  <c r="Q43" i="1"/>
  <c r="O43" i="1"/>
  <c r="N43" i="1"/>
  <c r="J43" i="1"/>
  <c r="G43" i="1"/>
  <c r="F43" i="1"/>
  <c r="E43" i="1"/>
  <c r="C43" i="1"/>
  <c r="B43" i="1"/>
  <c r="D43" i="1" s="1"/>
  <c r="AQ42" i="1"/>
  <c r="AS42" i="1" s="1"/>
  <c r="AP42" i="1"/>
  <c r="AR42" i="1" s="1"/>
  <c r="AO42" i="1"/>
  <c r="AN42" i="1"/>
  <c r="AI42" i="1"/>
  <c r="AK42" i="1" s="1"/>
  <c r="AG42" i="1"/>
  <c r="AF42" i="1"/>
  <c r="AC42" i="1"/>
  <c r="AB42" i="1"/>
  <c r="Z42" i="1"/>
  <c r="AH42" i="1" s="1"/>
  <c r="AJ42" i="1" s="1"/>
  <c r="Y42" i="1"/>
  <c r="W42" i="1"/>
  <c r="V42" i="1"/>
  <c r="X42" i="1" s="1"/>
  <c r="U42" i="1"/>
  <c r="T42" i="1"/>
  <c r="Q42" i="1"/>
  <c r="P42" i="1"/>
  <c r="M42" i="1"/>
  <c r="K42" i="1"/>
  <c r="J42" i="1"/>
  <c r="L42" i="1" s="1"/>
  <c r="I42" i="1"/>
  <c r="H42" i="1"/>
  <c r="E42" i="1"/>
  <c r="D42" i="1"/>
  <c r="B42" i="1"/>
  <c r="AO41" i="1"/>
  <c r="AN41" i="1"/>
  <c r="AK41" i="1"/>
  <c r="AI41" i="1"/>
  <c r="AG41" i="1"/>
  <c r="AD41" i="1"/>
  <c r="AC41" i="1"/>
  <c r="Z41" i="1"/>
  <c r="AH41" i="1" s="1"/>
  <c r="AJ41" i="1" s="1"/>
  <c r="Y41" i="1"/>
  <c r="W41" i="1"/>
  <c r="V41" i="1"/>
  <c r="X41" i="1" s="1"/>
  <c r="U41" i="1"/>
  <c r="T41" i="1"/>
  <c r="Q41" i="1"/>
  <c r="P41" i="1"/>
  <c r="M41" i="1"/>
  <c r="K41" i="1"/>
  <c r="AQ41" i="1" s="1"/>
  <c r="AS41" i="1" s="1"/>
  <c r="J41" i="1"/>
  <c r="I41" i="1"/>
  <c r="H41" i="1"/>
  <c r="E41" i="1"/>
  <c r="D41" i="1"/>
  <c r="AQ40" i="1"/>
  <c r="AS40" i="1" s="1"/>
  <c r="AO40" i="1"/>
  <c r="AN40" i="1"/>
  <c r="AJ40" i="1"/>
  <c r="AI40" i="1"/>
  <c r="AK40" i="1" s="1"/>
  <c r="AH40" i="1"/>
  <c r="AG40" i="1"/>
  <c r="AF40" i="1"/>
  <c r="AA40" i="1"/>
  <c r="AC40" i="1" s="1"/>
  <c r="Y40" i="1"/>
  <c r="W40" i="1"/>
  <c r="V40" i="1"/>
  <c r="X40" i="1" s="1"/>
  <c r="U40" i="1"/>
  <c r="T40" i="1"/>
  <c r="Q40" i="1"/>
  <c r="P40" i="1"/>
  <c r="M40" i="1"/>
  <c r="K40" i="1"/>
  <c r="J40" i="1"/>
  <c r="AP40" i="1" s="1"/>
  <c r="I40" i="1"/>
  <c r="H40" i="1"/>
  <c r="E40" i="1"/>
  <c r="D40" i="1"/>
  <c r="AO39" i="1"/>
  <c r="AN39" i="1"/>
  <c r="AH39" i="1"/>
  <c r="AJ39" i="1" s="1"/>
  <c r="AG39" i="1"/>
  <c r="AF39" i="1"/>
  <c r="AD39" i="1"/>
  <c r="AC39" i="1"/>
  <c r="AA39" i="1"/>
  <c r="AI39" i="1" s="1"/>
  <c r="Z39" i="1"/>
  <c r="W39" i="1"/>
  <c r="Y39" i="1" s="1"/>
  <c r="V39" i="1"/>
  <c r="X39" i="1" s="1"/>
  <c r="U39" i="1"/>
  <c r="T39" i="1"/>
  <c r="Q39" i="1"/>
  <c r="P39" i="1"/>
  <c r="K39" i="1"/>
  <c r="J39" i="1"/>
  <c r="L39" i="1" s="1"/>
  <c r="I39" i="1"/>
  <c r="H39" i="1"/>
  <c r="E39" i="1"/>
  <c r="D39" i="1"/>
  <c r="AQ38" i="1"/>
  <c r="AS38" i="1" s="1"/>
  <c r="AP38" i="1"/>
  <c r="AR38" i="1" s="1"/>
  <c r="AO38" i="1"/>
  <c r="AN38" i="1"/>
  <c r="AK38" i="1"/>
  <c r="AJ38" i="1"/>
  <c r="AI38" i="1"/>
  <c r="AH38" i="1"/>
  <c r="AG38" i="1"/>
  <c r="AF38" i="1"/>
  <c r="AC38" i="1"/>
  <c r="AB38" i="1"/>
  <c r="Y38" i="1"/>
  <c r="X38" i="1"/>
  <c r="W38" i="1"/>
  <c r="V38" i="1"/>
  <c r="U38" i="1"/>
  <c r="T38" i="1"/>
  <c r="Q38" i="1"/>
  <c r="P38" i="1"/>
  <c r="M38" i="1"/>
  <c r="L38" i="1"/>
  <c r="K38" i="1"/>
  <c r="J38" i="1"/>
  <c r="I38" i="1"/>
  <c r="H38" i="1"/>
  <c r="E38" i="1"/>
  <c r="D38" i="1"/>
  <c r="AS37" i="1"/>
  <c r="AO37" i="1"/>
  <c r="AN37" i="1"/>
  <c r="AI37" i="1"/>
  <c r="AK37" i="1" s="1"/>
  <c r="AH37" i="1"/>
  <c r="AJ37" i="1" s="1"/>
  <c r="AG37" i="1"/>
  <c r="AF37" i="1"/>
  <c r="AC37" i="1"/>
  <c r="AB37" i="1"/>
  <c r="W37" i="1"/>
  <c r="Y37" i="1" s="1"/>
  <c r="V37" i="1"/>
  <c r="X37" i="1" s="1"/>
  <c r="U37" i="1"/>
  <c r="T37" i="1"/>
  <c r="Q37" i="1"/>
  <c r="P37" i="1"/>
  <c r="K37" i="1"/>
  <c r="AQ37" i="1" s="1"/>
  <c r="J37" i="1"/>
  <c r="AP37" i="1" s="1"/>
  <c r="AR37" i="1" s="1"/>
  <c r="I37" i="1"/>
  <c r="H37" i="1"/>
  <c r="E37" i="1"/>
  <c r="D37" i="1"/>
  <c r="AO35" i="1"/>
  <c r="AN35" i="1"/>
  <c r="AM35" i="1"/>
  <c r="AL35" i="1"/>
  <c r="AH35" i="1"/>
  <c r="AE35" i="1"/>
  <c r="AD35" i="1"/>
  <c r="AA35" i="1"/>
  <c r="AC35" i="1" s="1"/>
  <c r="Z35" i="1"/>
  <c r="AB35" i="1" s="1"/>
  <c r="W35" i="1"/>
  <c r="Y35" i="1" s="1"/>
  <c r="U35" i="1"/>
  <c r="S35" i="1"/>
  <c r="R35" i="1"/>
  <c r="T35" i="1" s="1"/>
  <c r="O35" i="1"/>
  <c r="Q35" i="1" s="1"/>
  <c r="G35" i="1"/>
  <c r="I35" i="1" s="1"/>
  <c r="F35" i="1"/>
  <c r="H35" i="1" s="1"/>
  <c r="C35" i="1"/>
  <c r="K35" i="1" s="1"/>
  <c r="B35" i="1"/>
  <c r="AQ34" i="1"/>
  <c r="AS34" i="1" s="1"/>
  <c r="AO34" i="1"/>
  <c r="AN34" i="1"/>
  <c r="AK34" i="1"/>
  <c r="AJ34" i="1"/>
  <c r="AI34" i="1"/>
  <c r="AH34" i="1"/>
  <c r="AG34" i="1"/>
  <c r="AF34" i="1"/>
  <c r="AC34" i="1"/>
  <c r="AB34" i="1"/>
  <c r="Y34" i="1"/>
  <c r="W34" i="1"/>
  <c r="U34" i="1"/>
  <c r="T34" i="1"/>
  <c r="Q34" i="1"/>
  <c r="N34" i="1"/>
  <c r="M34" i="1"/>
  <c r="L34" i="1"/>
  <c r="K34" i="1"/>
  <c r="J34" i="1"/>
  <c r="I34" i="1"/>
  <c r="H34" i="1"/>
  <c r="E34" i="1"/>
  <c r="D34" i="1"/>
  <c r="AS33" i="1"/>
  <c r="AR33" i="1"/>
  <c r="AO33" i="1"/>
  <c r="AN33" i="1"/>
  <c r="AJ33" i="1"/>
  <c r="AI33" i="1"/>
  <c r="AK33" i="1" s="1"/>
  <c r="AH33" i="1"/>
  <c r="AG33" i="1"/>
  <c r="AF33" i="1"/>
  <c r="AC33" i="1"/>
  <c r="AB33" i="1"/>
  <c r="Y33" i="1"/>
  <c r="X33" i="1"/>
  <c r="W33" i="1"/>
  <c r="V33" i="1"/>
  <c r="U33" i="1"/>
  <c r="T33" i="1"/>
  <c r="Q33" i="1"/>
  <c r="P33" i="1"/>
  <c r="M33" i="1"/>
  <c r="L33" i="1"/>
  <c r="K33" i="1"/>
  <c r="AQ33" i="1" s="1"/>
  <c r="J33" i="1"/>
  <c r="AP33" i="1" s="1"/>
  <c r="I33" i="1"/>
  <c r="H33" i="1"/>
  <c r="E33" i="1"/>
  <c r="D33" i="1"/>
  <c r="AO32" i="1"/>
  <c r="AM32" i="1"/>
  <c r="AM36" i="1" s="1"/>
  <c r="AO36" i="1" s="1"/>
  <c r="AI32" i="1"/>
  <c r="AK32" i="1" s="1"/>
  <c r="AH32" i="1"/>
  <c r="AJ32" i="1" s="1"/>
  <c r="AG32" i="1"/>
  <c r="AE32" i="1"/>
  <c r="AD32" i="1"/>
  <c r="AD36" i="1" s="1"/>
  <c r="AA32" i="1"/>
  <c r="AC32" i="1" s="1"/>
  <c r="Z32" i="1"/>
  <c r="Z36" i="1" s="1"/>
  <c r="S32" i="1"/>
  <c r="S36" i="1" s="1"/>
  <c r="U36" i="1" s="1"/>
  <c r="K32" i="1"/>
  <c r="M32" i="1" s="1"/>
  <c r="I32" i="1"/>
  <c r="G32" i="1"/>
  <c r="F32" i="1"/>
  <c r="H32" i="1" s="1"/>
  <c r="C32" i="1"/>
  <c r="B32" i="1"/>
  <c r="B36" i="1" s="1"/>
  <c r="AO31" i="1"/>
  <c r="AN31" i="1"/>
  <c r="AI31" i="1"/>
  <c r="AJ31" i="1" s="1"/>
  <c r="AH31" i="1"/>
  <c r="AG31" i="1"/>
  <c r="AF31" i="1"/>
  <c r="AC31" i="1"/>
  <c r="AB31" i="1"/>
  <c r="W31" i="1"/>
  <c r="Y31" i="1" s="1"/>
  <c r="U31" i="1"/>
  <c r="R31" i="1"/>
  <c r="T31" i="1" s="1"/>
  <c r="Q31" i="1"/>
  <c r="N31" i="1"/>
  <c r="M31" i="1"/>
  <c r="K31" i="1"/>
  <c r="J31" i="1"/>
  <c r="L31" i="1" s="1"/>
  <c r="I31" i="1"/>
  <c r="H31" i="1"/>
  <c r="E31" i="1"/>
  <c r="D31" i="1"/>
  <c r="AO30" i="1"/>
  <c r="AL30" i="1"/>
  <c r="AL32" i="1" s="1"/>
  <c r="AK30" i="1"/>
  <c r="AJ30" i="1"/>
  <c r="AI30" i="1"/>
  <c r="AH30" i="1"/>
  <c r="AG30" i="1"/>
  <c r="AF30" i="1"/>
  <c r="AC30" i="1"/>
  <c r="AB30" i="1"/>
  <c r="U30" i="1"/>
  <c r="R30" i="1"/>
  <c r="V30" i="1" s="1"/>
  <c r="O30" i="1"/>
  <c r="N30" i="1"/>
  <c r="K30" i="1"/>
  <c r="J30" i="1"/>
  <c r="I30" i="1"/>
  <c r="H30" i="1"/>
  <c r="E30" i="1"/>
  <c r="D30" i="1"/>
  <c r="AQ29" i="1"/>
  <c r="AS29" i="1" s="1"/>
  <c r="AP29" i="1"/>
  <c r="AR29" i="1" s="1"/>
  <c r="AO29" i="1"/>
  <c r="AN29" i="1"/>
  <c r="AK29" i="1"/>
  <c r="AI29" i="1"/>
  <c r="AH29" i="1"/>
  <c r="AJ29" i="1" s="1"/>
  <c r="AG29" i="1"/>
  <c r="AF29" i="1"/>
  <c r="AC29" i="1"/>
  <c r="AB29" i="1"/>
  <c r="Y29" i="1"/>
  <c r="W29" i="1"/>
  <c r="V29" i="1"/>
  <c r="X29" i="1" s="1"/>
  <c r="U29" i="1"/>
  <c r="T29" i="1"/>
  <c r="Q29" i="1"/>
  <c r="P29" i="1"/>
  <c r="M29" i="1"/>
  <c r="K29" i="1"/>
  <c r="J29" i="1"/>
  <c r="L29" i="1" s="1"/>
  <c r="I29" i="1"/>
  <c r="H29" i="1"/>
  <c r="E29" i="1"/>
  <c r="D29" i="1"/>
  <c r="AP28" i="1"/>
  <c r="AO28" i="1"/>
  <c r="AN28" i="1"/>
  <c r="AI28" i="1"/>
  <c r="AK28" i="1" s="1"/>
  <c r="AH28" i="1"/>
  <c r="AG28" i="1"/>
  <c r="AF28" i="1"/>
  <c r="AC28" i="1"/>
  <c r="AB28" i="1"/>
  <c r="W28" i="1"/>
  <c r="Y28" i="1" s="1"/>
  <c r="V28" i="1"/>
  <c r="U28" i="1"/>
  <c r="T28" i="1"/>
  <c r="Q28" i="1"/>
  <c r="P28" i="1"/>
  <c r="K28" i="1"/>
  <c r="L28" i="1" s="1"/>
  <c r="J28" i="1"/>
  <c r="I28" i="1"/>
  <c r="H28" i="1"/>
  <c r="E28" i="1"/>
  <c r="D28" i="1"/>
  <c r="AE26" i="1"/>
  <c r="AG26" i="1" s="1"/>
  <c r="Z26" i="1"/>
  <c r="S26" i="1"/>
  <c r="U26" i="1" s="1"/>
  <c r="R26" i="1"/>
  <c r="T26" i="1" s="1"/>
  <c r="G26" i="1"/>
  <c r="I26" i="1" s="1"/>
  <c r="C26" i="1"/>
  <c r="AM25" i="1"/>
  <c r="AO25" i="1" s="1"/>
  <c r="AL25" i="1"/>
  <c r="AN25" i="1" s="1"/>
  <c r="AE25" i="1"/>
  <c r="AG25" i="1" s="1"/>
  <c r="AD25" i="1"/>
  <c r="AA25" i="1"/>
  <c r="AB25" i="1" s="1"/>
  <c r="Z25" i="1"/>
  <c r="AH25" i="1" s="1"/>
  <c r="W25" i="1"/>
  <c r="Y25" i="1" s="1"/>
  <c r="S25" i="1"/>
  <c r="U25" i="1" s="1"/>
  <c r="R25" i="1"/>
  <c r="O25" i="1"/>
  <c r="Q25" i="1" s="1"/>
  <c r="N25" i="1"/>
  <c r="V25" i="1" s="1"/>
  <c r="X25" i="1" s="1"/>
  <c r="G25" i="1"/>
  <c r="I25" i="1" s="1"/>
  <c r="F25" i="1"/>
  <c r="H25" i="1" s="1"/>
  <c r="C25" i="1"/>
  <c r="K25" i="1" s="1"/>
  <c r="AQ24" i="1"/>
  <c r="AS24" i="1" s="1"/>
  <c r="AO24" i="1"/>
  <c r="AN24" i="1"/>
  <c r="AK24" i="1"/>
  <c r="AI24" i="1"/>
  <c r="AH24" i="1"/>
  <c r="AJ24" i="1" s="1"/>
  <c r="AG24" i="1"/>
  <c r="AF24" i="1"/>
  <c r="AC24" i="1"/>
  <c r="AB24" i="1"/>
  <c r="Y24" i="1"/>
  <c r="W24" i="1"/>
  <c r="V24" i="1"/>
  <c r="X24" i="1" s="1"/>
  <c r="U24" i="1"/>
  <c r="T24" i="1"/>
  <c r="Q24" i="1"/>
  <c r="P24" i="1"/>
  <c r="M24" i="1"/>
  <c r="K24" i="1"/>
  <c r="I24" i="1"/>
  <c r="H24" i="1"/>
  <c r="E24" i="1"/>
  <c r="B24" i="1"/>
  <c r="J24" i="1" s="1"/>
  <c r="L24" i="1" s="1"/>
  <c r="AQ23" i="1"/>
  <c r="AS23" i="1" s="1"/>
  <c r="AO23" i="1"/>
  <c r="AL23" i="1"/>
  <c r="AN23" i="1" s="1"/>
  <c r="AK23" i="1"/>
  <c r="AI23" i="1"/>
  <c r="AH23" i="1"/>
  <c r="AJ23" i="1" s="1"/>
  <c r="AG23" i="1"/>
  <c r="AF23" i="1"/>
  <c r="AC23" i="1"/>
  <c r="AB23" i="1"/>
  <c r="Y23" i="1"/>
  <c r="W23" i="1"/>
  <c r="V23" i="1"/>
  <c r="X23" i="1" s="1"/>
  <c r="U23" i="1"/>
  <c r="T23" i="1"/>
  <c r="Q23" i="1"/>
  <c r="P23" i="1"/>
  <c r="M23" i="1"/>
  <c r="K23" i="1"/>
  <c r="I23" i="1"/>
  <c r="H23" i="1"/>
  <c r="E23" i="1"/>
  <c r="D23" i="1"/>
  <c r="B23" i="1"/>
  <c r="AQ22" i="1"/>
  <c r="AS22" i="1" s="1"/>
  <c r="AO22" i="1"/>
  <c r="AN22" i="1"/>
  <c r="AK22" i="1"/>
  <c r="AJ22" i="1"/>
  <c r="AI22" i="1"/>
  <c r="AH22" i="1"/>
  <c r="AG22" i="1"/>
  <c r="AF22" i="1"/>
  <c r="AC22" i="1"/>
  <c r="AB22" i="1"/>
  <c r="Y22" i="1"/>
  <c r="X22" i="1"/>
  <c r="W22" i="1"/>
  <c r="V22" i="1"/>
  <c r="U22" i="1"/>
  <c r="T22" i="1"/>
  <c r="Q22" i="1"/>
  <c r="P22" i="1"/>
  <c r="M22" i="1"/>
  <c r="L22" i="1"/>
  <c r="K22" i="1"/>
  <c r="I22" i="1"/>
  <c r="H22" i="1"/>
  <c r="E22" i="1"/>
  <c r="B22" i="1"/>
  <c r="J22" i="1" s="1"/>
  <c r="AP22" i="1" s="1"/>
  <c r="AR22" i="1" s="1"/>
  <c r="AO21" i="1"/>
  <c r="AN21" i="1"/>
  <c r="AI21" i="1"/>
  <c r="AK21" i="1" s="1"/>
  <c r="AH21" i="1"/>
  <c r="AG21" i="1"/>
  <c r="AF21" i="1"/>
  <c r="AC21" i="1"/>
  <c r="AA21" i="1"/>
  <c r="AB21" i="1" s="1"/>
  <c r="Y21" i="1"/>
  <c r="X21" i="1"/>
  <c r="W21" i="1"/>
  <c r="V21" i="1"/>
  <c r="U21" i="1"/>
  <c r="T21" i="1"/>
  <c r="Q21" i="1"/>
  <c r="P21" i="1"/>
  <c r="I21" i="1"/>
  <c r="F21" i="1"/>
  <c r="H21" i="1" s="1"/>
  <c r="E21" i="1"/>
  <c r="C21" i="1"/>
  <c r="K21" i="1" s="1"/>
  <c r="B21" i="1"/>
  <c r="AO20" i="1"/>
  <c r="AN20" i="1"/>
  <c r="AL20" i="1"/>
  <c r="AI20" i="1"/>
  <c r="AK20" i="1" s="1"/>
  <c r="AH20" i="1"/>
  <c r="AJ20" i="1" s="1"/>
  <c r="AG20" i="1"/>
  <c r="AF20" i="1"/>
  <c r="AC20" i="1"/>
  <c r="AB20" i="1"/>
  <c r="W20" i="1"/>
  <c r="Y20" i="1" s="1"/>
  <c r="V20" i="1"/>
  <c r="U20" i="1"/>
  <c r="T20" i="1"/>
  <c r="Q20" i="1"/>
  <c r="P20" i="1"/>
  <c r="K20" i="1"/>
  <c r="J20" i="1"/>
  <c r="L20" i="1" s="1"/>
  <c r="I20" i="1"/>
  <c r="H20" i="1"/>
  <c r="E20" i="1"/>
  <c r="D20" i="1"/>
  <c r="C20" i="1"/>
  <c r="B20" i="1"/>
  <c r="AO19" i="1"/>
  <c r="AN19" i="1"/>
  <c r="AI19" i="1"/>
  <c r="AK19" i="1" s="1"/>
  <c r="AH19" i="1"/>
  <c r="AJ19" i="1" s="1"/>
  <c r="AG19" i="1"/>
  <c r="AF19" i="1"/>
  <c r="AC19" i="1"/>
  <c r="AB19" i="1"/>
  <c r="W19" i="1"/>
  <c r="Y19" i="1" s="1"/>
  <c r="V19" i="1"/>
  <c r="X19" i="1" s="1"/>
  <c r="U19" i="1"/>
  <c r="T19" i="1"/>
  <c r="Q19" i="1"/>
  <c r="P19" i="1"/>
  <c r="K19" i="1"/>
  <c r="M19" i="1" s="1"/>
  <c r="J19" i="1"/>
  <c r="I19" i="1"/>
  <c r="H19" i="1"/>
  <c r="E19" i="1"/>
  <c r="D19" i="1"/>
  <c r="C19" i="1"/>
  <c r="B19" i="1"/>
  <c r="AO18" i="1"/>
  <c r="AN18" i="1"/>
  <c r="AI18" i="1"/>
  <c r="AK18" i="1" s="1"/>
  <c r="AH18" i="1"/>
  <c r="AJ18" i="1" s="1"/>
  <c r="AG18" i="1"/>
  <c r="AF18" i="1"/>
  <c r="AC18" i="1"/>
  <c r="AB18" i="1"/>
  <c r="W18" i="1"/>
  <c r="Y18" i="1" s="1"/>
  <c r="V18" i="1"/>
  <c r="X18" i="1" s="1"/>
  <c r="U18" i="1"/>
  <c r="T18" i="1"/>
  <c r="Q18" i="1"/>
  <c r="P18" i="1"/>
  <c r="K18" i="1"/>
  <c r="M18" i="1" s="1"/>
  <c r="J18" i="1"/>
  <c r="L18" i="1" s="1"/>
  <c r="I18" i="1"/>
  <c r="H18" i="1"/>
  <c r="E18" i="1"/>
  <c r="D18" i="1"/>
  <c r="AM17" i="1"/>
  <c r="AO17" i="1" s="1"/>
  <c r="AL17" i="1"/>
  <c r="AN17" i="1" s="1"/>
  <c r="AG17" i="1"/>
  <c r="AE17" i="1"/>
  <c r="AE27" i="1" s="1"/>
  <c r="N17" i="1"/>
  <c r="AP16" i="1"/>
  <c r="AO16" i="1"/>
  <c r="AN16" i="1"/>
  <c r="AK16" i="1"/>
  <c r="AJ16" i="1"/>
  <c r="AI16" i="1"/>
  <c r="AH16" i="1"/>
  <c r="AG16" i="1"/>
  <c r="AF16" i="1"/>
  <c r="AC16" i="1"/>
  <c r="AB16" i="1"/>
  <c r="Y16" i="1"/>
  <c r="X16" i="1"/>
  <c r="W16" i="1"/>
  <c r="V16" i="1"/>
  <c r="U16" i="1"/>
  <c r="T16" i="1"/>
  <c r="Q16" i="1"/>
  <c r="P16" i="1"/>
  <c r="J16" i="1"/>
  <c r="I16" i="1"/>
  <c r="H16" i="1"/>
  <c r="C16" i="1"/>
  <c r="E16" i="1" s="1"/>
  <c r="AO15" i="1"/>
  <c r="AN15" i="1"/>
  <c r="AI15" i="1"/>
  <c r="AK15" i="1" s="1"/>
  <c r="AH15" i="1"/>
  <c r="AJ15" i="1" s="1"/>
  <c r="AG15" i="1"/>
  <c r="AF15" i="1"/>
  <c r="AC15" i="1"/>
  <c r="AB15" i="1"/>
  <c r="W15" i="1"/>
  <c r="Y15" i="1" s="1"/>
  <c r="V15" i="1"/>
  <c r="X15" i="1" s="1"/>
  <c r="U15" i="1"/>
  <c r="T15" i="1"/>
  <c r="Q15" i="1"/>
  <c r="P15" i="1"/>
  <c r="K15" i="1"/>
  <c r="AQ15" i="1" s="1"/>
  <c r="AS15" i="1" s="1"/>
  <c r="J15" i="1"/>
  <c r="AP15" i="1" s="1"/>
  <c r="I15" i="1"/>
  <c r="H15" i="1"/>
  <c r="C15" i="1"/>
  <c r="E15" i="1" s="1"/>
  <c r="B15" i="1"/>
  <c r="D15" i="1" s="1"/>
  <c r="AM14" i="1"/>
  <c r="AO14" i="1" s="1"/>
  <c r="AL14" i="1"/>
  <c r="AN14" i="1" s="1"/>
  <c r="AI14" i="1"/>
  <c r="AK14" i="1" s="1"/>
  <c r="AH14" i="1"/>
  <c r="AJ14" i="1" s="1"/>
  <c r="AG14" i="1"/>
  <c r="AE14" i="1"/>
  <c r="AD14" i="1"/>
  <c r="AF14" i="1" s="1"/>
  <c r="AA14" i="1"/>
  <c r="AC14" i="1" s="1"/>
  <c r="Z14" i="1"/>
  <c r="AB14" i="1" s="1"/>
  <c r="S14" i="1"/>
  <c r="S17" i="1" s="1"/>
  <c r="R14" i="1"/>
  <c r="R17" i="1" s="1"/>
  <c r="O14" i="1"/>
  <c r="O17" i="1" s="1"/>
  <c r="N14" i="1"/>
  <c r="G14" i="1"/>
  <c r="G17" i="1" s="1"/>
  <c r="F14" i="1"/>
  <c r="H14" i="1" s="1"/>
  <c r="AQ13" i="1"/>
  <c r="AS13" i="1" s="1"/>
  <c r="AP13" i="1"/>
  <c r="AR13" i="1" s="1"/>
  <c r="AO13" i="1"/>
  <c r="AN13" i="1"/>
  <c r="AI13" i="1"/>
  <c r="AK13" i="1" s="1"/>
  <c r="AH13" i="1"/>
  <c r="AG13" i="1"/>
  <c r="AF13" i="1"/>
  <c r="AC13" i="1"/>
  <c r="AB13" i="1"/>
  <c r="W13" i="1"/>
  <c r="Y13" i="1" s="1"/>
  <c r="V13" i="1"/>
  <c r="U13" i="1"/>
  <c r="T13" i="1"/>
  <c r="Q13" i="1"/>
  <c r="P13" i="1"/>
  <c r="K13" i="1"/>
  <c r="M13" i="1" s="1"/>
  <c r="I13" i="1"/>
  <c r="H13" i="1"/>
  <c r="E13" i="1"/>
  <c r="D13" i="1"/>
  <c r="B13" i="1"/>
  <c r="J13" i="1" s="1"/>
  <c r="L13" i="1" s="1"/>
  <c r="AO12" i="1"/>
  <c r="AN12" i="1"/>
  <c r="AK12" i="1"/>
  <c r="AJ12" i="1"/>
  <c r="AI12" i="1"/>
  <c r="AH12" i="1"/>
  <c r="AG12" i="1"/>
  <c r="AF12" i="1"/>
  <c r="AC12" i="1"/>
  <c r="AB12" i="1"/>
  <c r="Y12" i="1"/>
  <c r="X12" i="1"/>
  <c r="W12" i="1"/>
  <c r="V12" i="1"/>
  <c r="U12" i="1"/>
  <c r="T12" i="1"/>
  <c r="Q12" i="1"/>
  <c r="P12" i="1"/>
  <c r="I12" i="1"/>
  <c r="F12" i="1"/>
  <c r="H12" i="1" s="1"/>
  <c r="C12" i="1"/>
  <c r="E12" i="1" s="1"/>
  <c r="B12" i="1"/>
  <c r="J12" i="1" s="1"/>
  <c r="AP11" i="1"/>
  <c r="AO11" i="1"/>
  <c r="AN11" i="1"/>
  <c r="AK11" i="1"/>
  <c r="AJ11" i="1"/>
  <c r="AI11" i="1"/>
  <c r="AH11" i="1"/>
  <c r="AG11" i="1"/>
  <c r="AF11" i="1"/>
  <c r="AC11" i="1"/>
  <c r="AB11" i="1"/>
  <c r="Y11" i="1"/>
  <c r="X11" i="1"/>
  <c r="W11" i="1"/>
  <c r="V11" i="1"/>
  <c r="U11" i="1"/>
  <c r="T11" i="1"/>
  <c r="Q11" i="1"/>
  <c r="P11" i="1"/>
  <c r="M11" i="1"/>
  <c r="L11" i="1"/>
  <c r="K11" i="1"/>
  <c r="AQ11" i="1" s="1"/>
  <c r="AS11" i="1" s="1"/>
  <c r="J11" i="1"/>
  <c r="I11" i="1"/>
  <c r="H11" i="1"/>
  <c r="E11" i="1"/>
  <c r="D11" i="1"/>
  <c r="AO10" i="1"/>
  <c r="AN10" i="1"/>
  <c r="AI10" i="1"/>
  <c r="AK10" i="1" s="1"/>
  <c r="AH10" i="1"/>
  <c r="AJ10" i="1" s="1"/>
  <c r="AG10" i="1"/>
  <c r="AF10" i="1"/>
  <c r="AC10" i="1"/>
  <c r="AB10" i="1"/>
  <c r="W10" i="1"/>
  <c r="Y10" i="1" s="1"/>
  <c r="V10" i="1"/>
  <c r="X10" i="1" s="1"/>
  <c r="U10" i="1"/>
  <c r="T10" i="1"/>
  <c r="Q10" i="1"/>
  <c r="P10" i="1"/>
  <c r="K10" i="1"/>
  <c r="M10" i="1" s="1"/>
  <c r="J10" i="1"/>
  <c r="AP10" i="1" s="1"/>
  <c r="I10" i="1"/>
  <c r="H10" i="1"/>
  <c r="E10" i="1"/>
  <c r="D10" i="1"/>
  <c r="AQ9" i="1"/>
  <c r="AS9" i="1" s="1"/>
  <c r="AP9" i="1"/>
  <c r="AR9" i="1" s="1"/>
  <c r="AO9" i="1"/>
  <c r="AN9" i="1"/>
  <c r="AI9" i="1"/>
  <c r="AK9" i="1" s="1"/>
  <c r="AH9" i="1"/>
  <c r="AJ9" i="1" s="1"/>
  <c r="AG9" i="1"/>
  <c r="AF9" i="1"/>
  <c r="AC9" i="1"/>
  <c r="AB9" i="1"/>
  <c r="W9" i="1"/>
  <c r="Y9" i="1" s="1"/>
  <c r="V9" i="1"/>
  <c r="X9" i="1" s="1"/>
  <c r="U9" i="1"/>
  <c r="T9" i="1"/>
  <c r="Q9" i="1"/>
  <c r="P9" i="1"/>
  <c r="K9" i="1"/>
  <c r="M9" i="1" s="1"/>
  <c r="J9" i="1"/>
  <c r="L9" i="1" s="1"/>
  <c r="I9" i="1"/>
  <c r="H9" i="1"/>
  <c r="E9" i="1"/>
  <c r="B9" i="1"/>
  <c r="AO8" i="1"/>
  <c r="AN8" i="1"/>
  <c r="AJ8" i="1"/>
  <c r="AI8" i="1"/>
  <c r="AK8" i="1" s="1"/>
  <c r="AH8" i="1"/>
  <c r="AG8" i="1"/>
  <c r="AF8" i="1"/>
  <c r="AC8" i="1"/>
  <c r="AB8" i="1"/>
  <c r="W8" i="1"/>
  <c r="Y8" i="1" s="1"/>
  <c r="V8" i="1"/>
  <c r="U8" i="1"/>
  <c r="T8" i="1"/>
  <c r="Q8" i="1"/>
  <c r="P8" i="1"/>
  <c r="K8" i="1"/>
  <c r="M8" i="1" s="1"/>
  <c r="J8" i="1"/>
  <c r="AP8" i="1" s="1"/>
  <c r="I8" i="1"/>
  <c r="H8" i="1"/>
  <c r="E8" i="1"/>
  <c r="D8" i="1"/>
  <c r="B79" i="2" l="1"/>
  <c r="D79" i="2"/>
  <c r="E79" i="2"/>
  <c r="C79" i="2"/>
  <c r="F56" i="2"/>
  <c r="F126" i="2" s="1"/>
  <c r="F30" i="2"/>
  <c r="F142" i="2" s="1"/>
  <c r="D164" i="3"/>
  <c r="B167" i="3"/>
  <c r="F144" i="3"/>
  <c r="F161" i="3" s="1"/>
  <c r="C100" i="3"/>
  <c r="D130" i="3"/>
  <c r="E130" i="3"/>
  <c r="B100" i="3"/>
  <c r="B144" i="3" s="1"/>
  <c r="B70" i="3"/>
  <c r="C70" i="3"/>
  <c r="D100" i="3"/>
  <c r="C78" i="3"/>
  <c r="D70" i="3"/>
  <c r="E70" i="3"/>
  <c r="D34" i="3"/>
  <c r="D48" i="3" s="1"/>
  <c r="D49" i="3" s="1"/>
  <c r="D55" i="3" s="1"/>
  <c r="E34" i="3"/>
  <c r="E48" i="3" s="1"/>
  <c r="E49" i="3" s="1"/>
  <c r="E55" i="3" s="1"/>
  <c r="F48" i="3"/>
  <c r="F49" i="3" s="1"/>
  <c r="F55" i="3" s="1"/>
  <c r="B34" i="3"/>
  <c r="D30" i="2"/>
  <c r="D142" i="2" s="1"/>
  <c r="E30" i="2"/>
  <c r="E142" i="2" s="1"/>
  <c r="D46" i="3"/>
  <c r="E53" i="3"/>
  <c r="D53" i="3"/>
  <c r="E41" i="3"/>
  <c r="D165" i="3"/>
  <c r="E165" i="3"/>
  <c r="E167" i="3" s="1"/>
  <c r="D43" i="3"/>
  <c r="D41" i="3"/>
  <c r="D23" i="3"/>
  <c r="D15" i="3"/>
  <c r="E15" i="3"/>
  <c r="D12" i="3"/>
  <c r="E12" i="3"/>
  <c r="B47" i="3"/>
  <c r="B24" i="3"/>
  <c r="C47" i="3"/>
  <c r="E47" i="3" s="1"/>
  <c r="C24" i="3"/>
  <c r="E24" i="3" s="1"/>
  <c r="B54" i="3"/>
  <c r="D54" i="3" s="1"/>
  <c r="B88" i="2"/>
  <c r="B126" i="2" s="1"/>
  <c r="E92" i="2"/>
  <c r="B29" i="2"/>
  <c r="D92" i="2"/>
  <c r="D125" i="2"/>
  <c r="C16" i="2"/>
  <c r="C19" i="2" s="1"/>
  <c r="B16" i="2"/>
  <c r="C88" i="2"/>
  <c r="E100" i="2"/>
  <c r="D145" i="2"/>
  <c r="C147" i="2"/>
  <c r="D147" i="2" s="1"/>
  <c r="E145" i="2"/>
  <c r="AP12" i="1"/>
  <c r="R27" i="1"/>
  <c r="T17" i="1"/>
  <c r="AK125" i="1"/>
  <c r="AQ35" i="1"/>
  <c r="AS35" i="1" s="1"/>
  <c r="U17" i="1"/>
  <c r="S27" i="1"/>
  <c r="G27" i="1"/>
  <c r="I17" i="1"/>
  <c r="V17" i="1"/>
  <c r="X17" i="1" s="1"/>
  <c r="M25" i="1"/>
  <c r="AH36" i="1"/>
  <c r="O27" i="1"/>
  <c r="W17" i="1"/>
  <c r="Y17" i="1" s="1"/>
  <c r="Q17" i="1"/>
  <c r="AR15" i="1"/>
  <c r="AG27" i="1"/>
  <c r="AR70" i="1"/>
  <c r="D36" i="1"/>
  <c r="D12" i="1"/>
  <c r="M20" i="1"/>
  <c r="AP20" i="1"/>
  <c r="C36" i="1"/>
  <c r="Z43" i="1"/>
  <c r="L64" i="1"/>
  <c r="S73" i="1"/>
  <c r="U65" i="1"/>
  <c r="L8" i="1"/>
  <c r="F17" i="1"/>
  <c r="D32" i="1"/>
  <c r="AI35" i="1"/>
  <c r="AK35" i="1" s="1"/>
  <c r="AE36" i="1"/>
  <c r="AG36" i="1" s="1"/>
  <c r="AN45" i="1"/>
  <c r="M15" i="1"/>
  <c r="E25" i="1"/>
  <c r="AQ31" i="1"/>
  <c r="AS31" i="1" s="1"/>
  <c r="AB47" i="1"/>
  <c r="AH47" i="1"/>
  <c r="Z48" i="1"/>
  <c r="D9" i="1"/>
  <c r="AQ10" i="1"/>
  <c r="K12" i="1"/>
  <c r="P14" i="1"/>
  <c r="W14" i="1"/>
  <c r="Y14" i="1" s="1"/>
  <c r="K16" i="1"/>
  <c r="AQ19" i="1"/>
  <c r="AP24" i="1"/>
  <c r="AR24" i="1" s="1"/>
  <c r="AI25" i="1"/>
  <c r="AQ25" i="1" s="1"/>
  <c r="AS25" i="1" s="1"/>
  <c r="B26" i="1"/>
  <c r="AA26" i="1"/>
  <c r="AP30" i="1"/>
  <c r="L30" i="1"/>
  <c r="J32" i="1"/>
  <c r="U32" i="1"/>
  <c r="AA36" i="1"/>
  <c r="M37" i="1"/>
  <c r="H43" i="1"/>
  <c r="F45" i="1"/>
  <c r="AC44" i="1"/>
  <c r="AB44" i="1"/>
  <c r="Y46" i="1"/>
  <c r="AQ46" i="1"/>
  <c r="AS46" i="1" s="1"/>
  <c r="AH54" i="1"/>
  <c r="AJ54" i="1" s="1"/>
  <c r="AB54" i="1"/>
  <c r="B56" i="1"/>
  <c r="J55" i="1"/>
  <c r="P55" i="1"/>
  <c r="N56" i="1"/>
  <c r="Z55" i="1"/>
  <c r="AF56" i="1"/>
  <c r="G73" i="1"/>
  <c r="W69" i="1"/>
  <c r="Q69" i="1"/>
  <c r="P69" i="1"/>
  <c r="X72" i="1"/>
  <c r="AP72" i="1"/>
  <c r="AL82" i="1"/>
  <c r="AN82" i="1" s="1"/>
  <c r="AN81" i="1"/>
  <c r="AP85" i="1"/>
  <c r="L85" i="1"/>
  <c r="AP113" i="1"/>
  <c r="AR113" i="1" s="1"/>
  <c r="L113" i="1"/>
  <c r="G45" i="1"/>
  <c r="K43" i="1"/>
  <c r="U45" i="1"/>
  <c r="S49" i="1"/>
  <c r="U49" i="1" s="1"/>
  <c r="AP46" i="1"/>
  <c r="L46" i="1"/>
  <c r="O56" i="1"/>
  <c r="Q55" i="1"/>
  <c r="V65" i="1"/>
  <c r="X65" i="1" s="1"/>
  <c r="R73" i="1"/>
  <c r="M85" i="1"/>
  <c r="AQ85" i="1"/>
  <c r="AS85" i="1" s="1"/>
  <c r="L82" i="1"/>
  <c r="W90" i="1"/>
  <c r="Q110" i="1"/>
  <c r="W110" i="1"/>
  <c r="Y110" i="1" s="1"/>
  <c r="M61" i="1"/>
  <c r="AQ61" i="1"/>
  <c r="AS61" i="1" s="1"/>
  <c r="AQ64" i="1"/>
  <c r="L65" i="1"/>
  <c r="T65" i="1"/>
  <c r="AJ77" i="1"/>
  <c r="M82" i="1"/>
  <c r="X122" i="1"/>
  <c r="AP122" i="1"/>
  <c r="AR122" i="1" s="1"/>
  <c r="AN56" i="1"/>
  <c r="AK77" i="1"/>
  <c r="AQ77" i="1"/>
  <c r="AH81" i="1"/>
  <c r="AB81" i="1"/>
  <c r="AP97" i="1"/>
  <c r="L97" i="1"/>
  <c r="AH110" i="1"/>
  <c r="AJ110" i="1" s="1"/>
  <c r="AC110" i="1"/>
  <c r="AB110" i="1"/>
  <c r="AN109" i="1"/>
  <c r="AL110" i="1"/>
  <c r="AN110" i="1" s="1"/>
  <c r="U110" i="1"/>
  <c r="T110" i="1"/>
  <c r="Q14" i="1"/>
  <c r="E35" i="1"/>
  <c r="I43" i="1"/>
  <c r="AN73" i="1"/>
  <c r="AK67" i="1"/>
  <c r="K99" i="1"/>
  <c r="E99" i="1"/>
  <c r="W30" i="1"/>
  <c r="O32" i="1"/>
  <c r="E45" i="1"/>
  <c r="C49" i="1"/>
  <c r="AA17" i="1"/>
  <c r="D22" i="1"/>
  <c r="E32" i="1"/>
  <c r="AF35" i="1"/>
  <c r="V73" i="1"/>
  <c r="AP73" i="1" s="1"/>
  <c r="AO71" i="1"/>
  <c r="AN71" i="1"/>
  <c r="AM73" i="1"/>
  <c r="AP75" i="1"/>
  <c r="L75" i="1"/>
  <c r="AR11" i="1"/>
  <c r="B14" i="1"/>
  <c r="T14" i="1"/>
  <c r="AD17" i="1"/>
  <c r="AP18" i="1"/>
  <c r="AJ21" i="1"/>
  <c r="AC25" i="1"/>
  <c r="X28" i="1"/>
  <c r="AJ28" i="1"/>
  <c r="Q30" i="1"/>
  <c r="AK31" i="1"/>
  <c r="R32" i="1"/>
  <c r="M35" i="1"/>
  <c r="AG35" i="1"/>
  <c r="AQ39" i="1"/>
  <c r="M39" i="1"/>
  <c r="Z45" i="1"/>
  <c r="AR40" i="1"/>
  <c r="O45" i="1"/>
  <c r="W43" i="1"/>
  <c r="Y43" i="1" s="1"/>
  <c r="AQ44" i="1"/>
  <c r="AS44" i="1" s="1"/>
  <c r="AJ44" i="1"/>
  <c r="D48" i="1"/>
  <c r="J48" i="1"/>
  <c r="AO48" i="1"/>
  <c r="V55" i="1"/>
  <c r="X55" i="1" s="1"/>
  <c r="AQ60" i="1"/>
  <c r="AS60" i="1" s="1"/>
  <c r="AP61" i="1"/>
  <c r="E67" i="1"/>
  <c r="D67" i="1"/>
  <c r="K67" i="1"/>
  <c r="L67" i="1" s="1"/>
  <c r="Y67" i="1"/>
  <c r="M75" i="1"/>
  <c r="AQ75" i="1"/>
  <c r="AS75" i="1" s="1"/>
  <c r="AP86" i="1"/>
  <c r="L86" i="1"/>
  <c r="X86" i="1"/>
  <c r="AL105" i="1"/>
  <c r="AN105" i="1" s="1"/>
  <c r="AN90" i="1"/>
  <c r="AJ94" i="1"/>
  <c r="Q121" i="1"/>
  <c r="M30" i="1"/>
  <c r="X8" i="1"/>
  <c r="D24" i="1"/>
  <c r="N26" i="1"/>
  <c r="P25" i="1"/>
  <c r="AB41" i="1"/>
  <c r="Y77" i="1"/>
  <c r="L15" i="1"/>
  <c r="P17" i="1"/>
  <c r="AN32" i="1"/>
  <c r="AL36" i="1"/>
  <c r="AN36" i="1" s="1"/>
  <c r="L10" i="1"/>
  <c r="D16" i="1"/>
  <c r="P30" i="1"/>
  <c r="AD43" i="1"/>
  <c r="AF43" i="1" s="1"/>
  <c r="AF41" i="1"/>
  <c r="AR44" i="1"/>
  <c r="D45" i="1"/>
  <c r="N49" i="1"/>
  <c r="AP60" i="1"/>
  <c r="AR60" i="1" s="1"/>
  <c r="AQ8" i="1"/>
  <c r="AS8" i="1" s="1"/>
  <c r="X13" i="1"/>
  <c r="C14" i="1"/>
  <c r="U14" i="1"/>
  <c r="T25" i="1"/>
  <c r="K26" i="1"/>
  <c r="V31" i="1"/>
  <c r="X31" i="1" s="1"/>
  <c r="N32" i="1"/>
  <c r="AF36" i="1"/>
  <c r="P34" i="1"/>
  <c r="V34" i="1"/>
  <c r="N35" i="1"/>
  <c r="AJ35" i="1"/>
  <c r="F36" i="1"/>
  <c r="AK39" i="1"/>
  <c r="AP39" i="1"/>
  <c r="AR39" i="1" s="1"/>
  <c r="W55" i="1"/>
  <c r="L71" i="1"/>
  <c r="AP71" i="1"/>
  <c r="O71" i="1"/>
  <c r="O73" i="1" s="1"/>
  <c r="F78" i="1"/>
  <c r="H77" i="1"/>
  <c r="Z82" i="1"/>
  <c r="M86" i="1"/>
  <c r="AQ86" i="1"/>
  <c r="AS86" i="1" s="1"/>
  <c r="AQ88" i="1"/>
  <c r="AQ94" i="1"/>
  <c r="X94" i="1"/>
  <c r="AK104" i="1"/>
  <c r="AQ104" i="1"/>
  <c r="AS104" i="1" s="1"/>
  <c r="AB114" i="1"/>
  <c r="AH114" i="1"/>
  <c r="AJ114" i="1" s="1"/>
  <c r="F26" i="1"/>
  <c r="H26" i="1" s="1"/>
  <c r="J21" i="1"/>
  <c r="AP41" i="1"/>
  <c r="AR41" i="1" s="1"/>
  <c r="I14" i="1"/>
  <c r="Z17" i="1"/>
  <c r="AQ20" i="1"/>
  <c r="AS20" i="1" s="1"/>
  <c r="N27" i="1"/>
  <c r="AC43" i="1"/>
  <c r="AA45" i="1"/>
  <c r="M48" i="1"/>
  <c r="AQ28" i="1"/>
  <c r="AS28" i="1" s="1"/>
  <c r="AN30" i="1"/>
  <c r="AB32" i="1"/>
  <c r="AO45" i="1"/>
  <c r="AA73" i="1"/>
  <c r="M70" i="1"/>
  <c r="L70" i="1"/>
  <c r="H71" i="1"/>
  <c r="AJ13" i="1"/>
  <c r="AQ18" i="1"/>
  <c r="AS18" i="1" s="1"/>
  <c r="AQ21" i="1"/>
  <c r="AD26" i="1"/>
  <c r="AF25" i="1"/>
  <c r="AM26" i="1"/>
  <c r="M28" i="1"/>
  <c r="V14" i="1"/>
  <c r="X14" i="1" s="1"/>
  <c r="L19" i="1"/>
  <c r="AP19" i="1"/>
  <c r="AR19" i="1" s="1"/>
  <c r="X20" i="1"/>
  <c r="AL26" i="1"/>
  <c r="D21" i="1"/>
  <c r="B25" i="1"/>
  <c r="J23" i="1"/>
  <c r="O26" i="1"/>
  <c r="T30" i="1"/>
  <c r="P31" i="1"/>
  <c r="G36" i="1"/>
  <c r="I36" i="1" s="1"/>
  <c r="L37" i="1"/>
  <c r="L40" i="1"/>
  <c r="T43" i="1"/>
  <c r="R45" i="1"/>
  <c r="M44" i="1"/>
  <c r="X46" i="1"/>
  <c r="D49" i="1"/>
  <c r="L54" i="1"/>
  <c r="AP54" i="1"/>
  <c r="AR54" i="1" s="1"/>
  <c r="Y54" i="1"/>
  <c r="AQ54" i="1"/>
  <c r="H56" i="1"/>
  <c r="AK72" i="1"/>
  <c r="AQ72" i="1"/>
  <c r="AS72" i="1" s="1"/>
  <c r="AH73" i="1"/>
  <c r="D78" i="1"/>
  <c r="B84" i="1"/>
  <c r="Z84" i="1"/>
  <c r="AH78" i="1"/>
  <c r="AC82" i="1"/>
  <c r="AI82" i="1"/>
  <c r="AF105" i="1"/>
  <c r="E103" i="1"/>
  <c r="K103" i="1"/>
  <c r="AC114" i="1"/>
  <c r="D35" i="1"/>
  <c r="P43" i="1"/>
  <c r="L60" i="1"/>
  <c r="L61" i="1"/>
  <c r="AP62" i="1"/>
  <c r="AR62" i="1" s="1"/>
  <c r="L63" i="1"/>
  <c r="AP63" i="1"/>
  <c r="AR63" i="1" s="1"/>
  <c r="Y70" i="1"/>
  <c r="X70" i="1"/>
  <c r="W81" i="1"/>
  <c r="O82" i="1"/>
  <c r="Q81" i="1"/>
  <c r="AH90" i="1"/>
  <c r="AJ104" i="1"/>
  <c r="P110" i="1"/>
  <c r="V110" i="1"/>
  <c r="AA55" i="1"/>
  <c r="M65" i="1"/>
  <c r="AQ65" i="1"/>
  <c r="AH65" i="1"/>
  <c r="AJ65" i="1" s="1"/>
  <c r="AB66" i="1"/>
  <c r="AP67" i="1"/>
  <c r="K71" i="1"/>
  <c r="AC81" i="1"/>
  <c r="AI81" i="1"/>
  <c r="AK81" i="1" s="1"/>
  <c r="AQ98" i="1"/>
  <c r="AS98" i="1" s="1"/>
  <c r="Y98" i="1"/>
  <c r="D109" i="1"/>
  <c r="J109" i="1"/>
  <c r="K110" i="1"/>
  <c r="AB40" i="1"/>
  <c r="AP59" i="1"/>
  <c r="AR59" i="1" s="1"/>
  <c r="L59" i="1"/>
  <c r="O84" i="1"/>
  <c r="W78" i="1"/>
  <c r="AE84" i="1"/>
  <c r="AG84" i="1" s="1"/>
  <c r="AG78" i="1"/>
  <c r="AF78" i="1"/>
  <c r="AS80" i="1"/>
  <c r="P88" i="1"/>
  <c r="N90" i="1"/>
  <c r="V88" i="1"/>
  <c r="X88" i="1" s="1"/>
  <c r="T90" i="1"/>
  <c r="R105" i="1"/>
  <c r="AQ95" i="1"/>
  <c r="M95" i="1"/>
  <c r="Q98" i="1"/>
  <c r="AJ111" i="1"/>
  <c r="I114" i="1"/>
  <c r="H114" i="1"/>
  <c r="J121" i="1"/>
  <c r="D121" i="1"/>
  <c r="AF32" i="1"/>
  <c r="J35" i="1"/>
  <c r="AB39" i="1"/>
  <c r="L41" i="1"/>
  <c r="V43" i="1"/>
  <c r="X43" i="1" s="1"/>
  <c r="T48" i="1"/>
  <c r="AR53" i="1"/>
  <c r="W65" i="1"/>
  <c r="Y65" i="1" s="1"/>
  <c r="AB65" i="1"/>
  <c r="L66" i="1"/>
  <c r="AP66" i="1"/>
  <c r="Q66" i="1"/>
  <c r="W66" i="1"/>
  <c r="AR68" i="1"/>
  <c r="AJ70" i="1"/>
  <c r="V82" i="1"/>
  <c r="P82" i="1"/>
  <c r="J88" i="1"/>
  <c r="M88" i="1" s="1"/>
  <c r="D88" i="1"/>
  <c r="B90" i="1"/>
  <c r="D95" i="1"/>
  <c r="AQ111" i="1"/>
  <c r="AS111" i="1" s="1"/>
  <c r="M111" i="1"/>
  <c r="X111" i="1"/>
  <c r="K121" i="1"/>
  <c r="E121" i="1"/>
  <c r="J77" i="1"/>
  <c r="AC77" i="1"/>
  <c r="AA78" i="1"/>
  <c r="AB78" i="1" s="1"/>
  <c r="AP79" i="1"/>
  <c r="AR79" i="1" s="1"/>
  <c r="AP80" i="1"/>
  <c r="AR80" i="1" s="1"/>
  <c r="L81" i="1"/>
  <c r="AQ89" i="1"/>
  <c r="L95" i="1"/>
  <c r="P98" i="1"/>
  <c r="O102" i="1"/>
  <c r="C114" i="1"/>
  <c r="E112" i="1"/>
  <c r="K112" i="1"/>
  <c r="X113" i="1"/>
  <c r="AR115" i="1"/>
  <c r="AP117" i="1"/>
  <c r="L117" i="1"/>
  <c r="AP120" i="1"/>
  <c r="L120" i="1"/>
  <c r="AJ120" i="1"/>
  <c r="AS136" i="1"/>
  <c r="C73" i="1"/>
  <c r="E65" i="1"/>
  <c r="AA71" i="1"/>
  <c r="AB71" i="1" s="1"/>
  <c r="AE73" i="1"/>
  <c r="AP76" i="1"/>
  <c r="AR76" i="1" s="1"/>
  <c r="E78" i="1"/>
  <c r="T78" i="1"/>
  <c r="R84" i="1"/>
  <c r="C90" i="1"/>
  <c r="E88" i="1"/>
  <c r="Q88" i="1"/>
  <c r="L89" i="1"/>
  <c r="Y92" i="1"/>
  <c r="AQ93" i="1"/>
  <c r="AQ96" i="1"/>
  <c r="AS96" i="1" s="1"/>
  <c r="AQ97" i="1"/>
  <c r="AS97" i="1" s="1"/>
  <c r="AI98" i="1"/>
  <c r="AK98" i="1" s="1"/>
  <c r="AK110" i="1"/>
  <c r="D119" i="1"/>
  <c r="J119" i="1"/>
  <c r="AI120" i="1"/>
  <c r="AK120" i="1" s="1"/>
  <c r="AC120" i="1"/>
  <c r="Y124" i="1"/>
  <c r="AQ124" i="1"/>
  <c r="AS124" i="1" s="1"/>
  <c r="AF55" i="1"/>
  <c r="E64" i="1"/>
  <c r="P67" i="1"/>
  <c r="AC67" i="1"/>
  <c r="L69" i="1"/>
  <c r="V69" i="1"/>
  <c r="X69" i="1" s="1"/>
  <c r="M72" i="1"/>
  <c r="M76" i="1"/>
  <c r="E82" i="1"/>
  <c r="M83" i="1"/>
  <c r="AB83" i="1"/>
  <c r="AP83" i="1"/>
  <c r="AF84" i="1"/>
  <c r="AB89" i="1"/>
  <c r="H90" i="1"/>
  <c r="AB95" i="1"/>
  <c r="X100" i="1"/>
  <c r="X101" i="1"/>
  <c r="AP101" i="1"/>
  <c r="AR101" i="1" s="1"/>
  <c r="P103" i="1"/>
  <c r="V103" i="1"/>
  <c r="X103" i="1" s="1"/>
  <c r="AP104" i="1"/>
  <c r="L104" i="1"/>
  <c r="N114" i="1"/>
  <c r="P112" i="1"/>
  <c r="V112" i="1"/>
  <c r="X117" i="1"/>
  <c r="Y119" i="1"/>
  <c r="Q120" i="1"/>
  <c r="V120" i="1"/>
  <c r="X120" i="1" s="1"/>
  <c r="AP124" i="1"/>
  <c r="L124" i="1"/>
  <c r="M127" i="1"/>
  <c r="AQ127" i="1"/>
  <c r="AS127" i="1" s="1"/>
  <c r="L127" i="1"/>
  <c r="AK61" i="1"/>
  <c r="V77" i="1"/>
  <c r="X77" i="1" s="1"/>
  <c r="N78" i="1"/>
  <c r="AB77" i="1"/>
  <c r="T82" i="1"/>
  <c r="S84" i="1"/>
  <c r="U84" i="1" s="1"/>
  <c r="X92" i="1"/>
  <c r="AP92" i="1"/>
  <c r="AR92" i="1" s="1"/>
  <c r="J94" i="1"/>
  <c r="B102" i="1"/>
  <c r="D94" i="1"/>
  <c r="P95" i="1"/>
  <c r="V95" i="1"/>
  <c r="X95" i="1" s="1"/>
  <c r="D96" i="1"/>
  <c r="L100" i="1"/>
  <c r="N102" i="1"/>
  <c r="AN102" i="1"/>
  <c r="J112" i="1"/>
  <c r="B114" i="1"/>
  <c r="Q112" i="1"/>
  <c r="O114" i="1"/>
  <c r="W112" i="1"/>
  <c r="Y112" i="1" s="1"/>
  <c r="Y117" i="1"/>
  <c r="AQ117" i="1"/>
  <c r="AS117" i="1" s="1"/>
  <c r="D77" i="1"/>
  <c r="AL78" i="1"/>
  <c r="AQ81" i="1"/>
  <c r="AP89" i="1"/>
  <c r="AR89" i="1" s="1"/>
  <c r="AJ95" i="1"/>
  <c r="L98" i="1"/>
  <c r="AJ98" i="1"/>
  <c r="AJ100" i="1"/>
  <c r="AQ108" i="1"/>
  <c r="AR111" i="1"/>
  <c r="AJ112" i="1"/>
  <c r="AJ113" i="1"/>
  <c r="AB120" i="1"/>
  <c r="P121" i="1"/>
  <c r="V121" i="1"/>
  <c r="X121" i="1" s="1"/>
  <c r="AP128" i="1"/>
  <c r="L128" i="1"/>
  <c r="AJ132" i="1"/>
  <c r="M152" i="1"/>
  <c r="AI154" i="1"/>
  <c r="AA161" i="1"/>
  <c r="AC154" i="1"/>
  <c r="AP130" i="1"/>
  <c r="AR142" i="1"/>
  <c r="Y151" i="1"/>
  <c r="X151" i="1"/>
  <c r="AH152" i="1"/>
  <c r="AB152" i="1"/>
  <c r="D154" i="1"/>
  <c r="B161" i="1"/>
  <c r="J154" i="1"/>
  <c r="AK124" i="1"/>
  <c r="AQ125" i="1"/>
  <c r="L132" i="1"/>
  <c r="AP132" i="1"/>
  <c r="M139" i="1"/>
  <c r="AQ139" i="1"/>
  <c r="M142" i="1"/>
  <c r="AQ142" i="1"/>
  <c r="AS142" i="1" s="1"/>
  <c r="X142" i="1"/>
  <c r="AI143" i="1"/>
  <c r="AC143" i="1"/>
  <c r="E158" i="1"/>
  <c r="K158" i="1"/>
  <c r="L158" i="1" s="1"/>
  <c r="C161" i="1"/>
  <c r="E160" i="1"/>
  <c r="K160" i="1"/>
  <c r="D160" i="1"/>
  <c r="P129" i="1"/>
  <c r="V129" i="1"/>
  <c r="L142" i="1"/>
  <c r="M150" i="1"/>
  <c r="AQ151" i="1"/>
  <c r="AS151" i="1" s="1"/>
  <c r="M151" i="1"/>
  <c r="L151" i="1"/>
  <c r="J152" i="1"/>
  <c r="D152" i="1"/>
  <c r="P157" i="1"/>
  <c r="V157" i="1"/>
  <c r="X157" i="1" s="1"/>
  <c r="V173" i="1"/>
  <c r="X173" i="1" s="1"/>
  <c r="Q173" i="1"/>
  <c r="P173" i="1"/>
  <c r="K78" i="1"/>
  <c r="AQ83" i="1"/>
  <c r="AS83" i="1" s="1"/>
  <c r="C102" i="1"/>
  <c r="X96" i="1"/>
  <c r="P97" i="1"/>
  <c r="X99" i="1"/>
  <c r="AR100" i="1"/>
  <c r="AI108" i="1"/>
  <c r="AK108" i="1" s="1"/>
  <c r="E109" i="1"/>
  <c r="M113" i="1"/>
  <c r="J118" i="1"/>
  <c r="AK119" i="1"/>
  <c r="AB125" i="1"/>
  <c r="AH125" i="1"/>
  <c r="AJ125" i="1" s="1"/>
  <c r="X145" i="1"/>
  <c r="AJ145" i="1"/>
  <c r="V81" i="1"/>
  <c r="X81" i="1" s="1"/>
  <c r="AH93" i="1"/>
  <c r="AJ93" i="1" s="1"/>
  <c r="Z102" i="1"/>
  <c r="Z105" i="1" s="1"/>
  <c r="L96" i="1"/>
  <c r="L99" i="1"/>
  <c r="AC104" i="1"/>
  <c r="S105" i="1"/>
  <c r="U105" i="1" s="1"/>
  <c r="M108" i="1"/>
  <c r="X108" i="1"/>
  <c r="Q109" i="1"/>
  <c r="Y120" i="1"/>
  <c r="M123" i="1"/>
  <c r="AQ123" i="1"/>
  <c r="N141" i="1"/>
  <c r="V125" i="1"/>
  <c r="P125" i="1"/>
  <c r="D126" i="1"/>
  <c r="J126" i="1"/>
  <c r="AD141" i="1"/>
  <c r="AH133" i="1"/>
  <c r="AG138" i="1"/>
  <c r="AE141" i="1"/>
  <c r="AG141" i="1" s="1"/>
  <c r="AI138" i="1"/>
  <c r="AK138" i="1" s="1"/>
  <c r="Z141" i="1"/>
  <c r="AC141" i="1" s="1"/>
  <c r="AI152" i="1"/>
  <c r="AK152" i="1" s="1"/>
  <c r="AQ154" i="1"/>
  <c r="P156" i="1"/>
  <c r="J157" i="1"/>
  <c r="D157" i="1"/>
  <c r="O161" i="1"/>
  <c r="AA90" i="1"/>
  <c r="AA102" i="1"/>
  <c r="E94" i="1"/>
  <c r="X98" i="1"/>
  <c r="AK103" i="1"/>
  <c r="P104" i="1"/>
  <c r="AQ106" i="1"/>
  <c r="P106" i="1"/>
  <c r="AB106" i="1"/>
  <c r="B110" i="1"/>
  <c r="J108" i="1"/>
  <c r="T114" i="1"/>
  <c r="X115" i="1"/>
  <c r="AK115" i="1"/>
  <c r="AJ115" i="1"/>
  <c r="AQ118" i="1"/>
  <c r="AS118" i="1" s="1"/>
  <c r="M118" i="1"/>
  <c r="V118" i="1"/>
  <c r="X118" i="1" s="1"/>
  <c r="AB121" i="1"/>
  <c r="L123" i="1"/>
  <c r="AC123" i="1"/>
  <c r="AH123" i="1"/>
  <c r="AJ123" i="1" s="1"/>
  <c r="C141" i="1"/>
  <c r="Q125" i="1"/>
  <c r="E126" i="1"/>
  <c r="K126" i="1"/>
  <c r="Y128" i="1"/>
  <c r="AQ128" i="1"/>
  <c r="AS128" i="1" s="1"/>
  <c r="X130" i="1"/>
  <c r="AF133" i="1"/>
  <c r="X138" i="1"/>
  <c r="AP138" i="1"/>
  <c r="L144" i="1"/>
  <c r="N161" i="1"/>
  <c r="AH154" i="1"/>
  <c r="AJ154" i="1" s="1"/>
  <c r="Z161" i="1"/>
  <c r="AR155" i="1"/>
  <c r="Q156" i="1"/>
  <c r="L116" i="1"/>
  <c r="M120" i="1"/>
  <c r="AJ121" i="1"/>
  <c r="Y129" i="1"/>
  <c r="AJ130" i="1"/>
  <c r="AQ133" i="1"/>
  <c r="AS133" i="1" s="1"/>
  <c r="M133" i="1"/>
  <c r="AP134" i="1"/>
  <c r="AR134" i="1" s="1"/>
  <c r="AQ135" i="1"/>
  <c r="T141" i="1"/>
  <c r="C148" i="1"/>
  <c r="AK151" i="1"/>
  <c r="AJ151" i="1"/>
  <c r="AQ155" i="1"/>
  <c r="AS155" i="1" s="1"/>
  <c r="M155" i="1"/>
  <c r="E119" i="1"/>
  <c r="AC125" i="1"/>
  <c r="AK126" i="1"/>
  <c r="M128" i="1"/>
  <c r="M130" i="1"/>
  <c r="AQ130" i="1"/>
  <c r="AS130" i="1" s="1"/>
  <c r="Y131" i="1"/>
  <c r="K137" i="1"/>
  <c r="E137" i="1"/>
  <c r="D137" i="1"/>
  <c r="J145" i="1"/>
  <c r="M145" i="1" s="1"/>
  <c r="D145" i="1"/>
  <c r="AC148" i="1"/>
  <c r="AI148" i="1"/>
  <c r="AK148" i="1" s="1"/>
  <c r="E152" i="1"/>
  <c r="E154" i="1"/>
  <c r="V163" i="1"/>
  <c r="X163" i="1" s="1"/>
  <c r="P163" i="1"/>
  <c r="Q119" i="1"/>
  <c r="F141" i="1"/>
  <c r="H141" i="1" s="1"/>
  <c r="Y126" i="1"/>
  <c r="M131" i="1"/>
  <c r="AP131" i="1"/>
  <c r="C138" i="1"/>
  <c r="AH138" i="1"/>
  <c r="AO138" i="1"/>
  <c r="AM141" i="1"/>
  <c r="AO141" i="1" s="1"/>
  <c r="AB144" i="1"/>
  <c r="E145" i="1"/>
  <c r="AB148" i="1"/>
  <c r="J150" i="1"/>
  <c r="D150" i="1"/>
  <c r="AK155" i="1"/>
  <c r="AQ157" i="1"/>
  <c r="AJ157" i="1"/>
  <c r="AP158" i="1"/>
  <c r="L162" i="1"/>
  <c r="L163" i="1"/>
  <c r="AP163" i="1"/>
  <c r="AR163" i="1" s="1"/>
  <c r="AR183" i="1"/>
  <c r="X116" i="1"/>
  <c r="P124" i="1"/>
  <c r="O141" i="1"/>
  <c r="H125" i="1"/>
  <c r="AQ131" i="1"/>
  <c r="AS131" i="1" s="1"/>
  <c r="AQ132" i="1"/>
  <c r="AS132" i="1" s="1"/>
  <c r="L135" i="1"/>
  <c r="AP135" i="1"/>
  <c r="AR135" i="1" s="1"/>
  <c r="AP136" i="1"/>
  <c r="AR136" i="1" s="1"/>
  <c r="D138" i="1"/>
  <c r="AP140" i="1"/>
  <c r="L140" i="1"/>
  <c r="AC144" i="1"/>
  <c r="AP148" i="1"/>
  <c r="AQ147" i="1"/>
  <c r="AS147" i="1" s="1"/>
  <c r="AK153" i="1"/>
  <c r="AQ153" i="1"/>
  <c r="AS153" i="1" s="1"/>
  <c r="D159" i="1"/>
  <c r="J159" i="1"/>
  <c r="D163" i="1"/>
  <c r="AK163" i="1"/>
  <c r="AJ163" i="1"/>
  <c r="AB143" i="1"/>
  <c r="D158" i="1"/>
  <c r="J178" i="1"/>
  <c r="M174" i="1"/>
  <c r="AQ174" i="1"/>
  <c r="J125" i="1"/>
  <c r="AQ144" i="1"/>
  <c r="M144" i="1"/>
  <c r="E150" i="1"/>
  <c r="AP153" i="1"/>
  <c r="Q157" i="1"/>
  <c r="AI172" i="1"/>
  <c r="AK172" i="1" s="1"/>
  <c r="AA178" i="1"/>
  <c r="AC172" i="1"/>
  <c r="AH143" i="1"/>
  <c r="AJ143" i="1" s="1"/>
  <c r="AP156" i="1"/>
  <c r="L156" i="1"/>
  <c r="X156" i="1"/>
  <c r="P172" i="1"/>
  <c r="V172" i="1"/>
  <c r="X172" i="1" s="1"/>
  <c r="K173" i="1"/>
  <c r="E173" i="1"/>
  <c r="M175" i="1"/>
  <c r="AQ175" i="1"/>
  <c r="AA185" i="1"/>
  <c r="AI183" i="1"/>
  <c r="AK183" i="1" s="1"/>
  <c r="AC183" i="1"/>
  <c r="AB183" i="1"/>
  <c r="L139" i="1"/>
  <c r="V143" i="1"/>
  <c r="X143" i="1" s="1"/>
  <c r="V144" i="1"/>
  <c r="AR146" i="1"/>
  <c r="L147" i="1"/>
  <c r="M149" i="1"/>
  <c r="AR151" i="1"/>
  <c r="L153" i="1"/>
  <c r="E155" i="1"/>
  <c r="AQ156" i="1"/>
  <c r="AS156" i="1" s="1"/>
  <c r="AQ159" i="1"/>
  <c r="AK159" i="1"/>
  <c r="N178" i="1"/>
  <c r="D173" i="1"/>
  <c r="AN178" i="1"/>
  <c r="W148" i="1"/>
  <c r="Y148" i="1" s="1"/>
  <c r="V159" i="1"/>
  <c r="X159" i="1" s="1"/>
  <c r="P159" i="1"/>
  <c r="Y173" i="1"/>
  <c r="Q178" i="1"/>
  <c r="N186" i="1"/>
  <c r="P185" i="1"/>
  <c r="V185" i="1"/>
  <c r="X185" i="1" s="1"/>
  <c r="O186" i="1"/>
  <c r="W185" i="1"/>
  <c r="V152" i="1"/>
  <c r="X152" i="1" s="1"/>
  <c r="Q159" i="1"/>
  <c r="L160" i="1"/>
  <c r="AP165" i="1"/>
  <c r="AR165" i="1" s="1"/>
  <c r="L165" i="1"/>
  <c r="AP174" i="1"/>
  <c r="AR174" i="1" s="1"/>
  <c r="L174" i="1"/>
  <c r="AP175" i="1"/>
  <c r="AR175" i="1" s="1"/>
  <c r="L175" i="1"/>
  <c r="AP176" i="1"/>
  <c r="AP177" i="1"/>
  <c r="E185" i="1"/>
  <c r="K185" i="1"/>
  <c r="C186" i="1"/>
  <c r="M156" i="1"/>
  <c r="P162" i="1"/>
  <c r="V162" i="1"/>
  <c r="X162" i="1" s="1"/>
  <c r="AI162" i="1"/>
  <c r="AJ162" i="1" s="1"/>
  <c r="AC162" i="1"/>
  <c r="AQ163" i="1"/>
  <c r="AS163" i="1" s="1"/>
  <c r="AP166" i="1"/>
  <c r="AP167" i="1"/>
  <c r="AP170" i="1"/>
  <c r="X170" i="1"/>
  <c r="AP171" i="1"/>
  <c r="X171" i="1"/>
  <c r="AP173" i="1"/>
  <c r="AF178" i="1"/>
  <c r="P160" i="1"/>
  <c r="V160" i="1"/>
  <c r="X160" i="1" s="1"/>
  <c r="AI160" i="1"/>
  <c r="AK160" i="1" s="1"/>
  <c r="AC160" i="1"/>
  <c r="AF161" i="1"/>
  <c r="AB162" i="1"/>
  <c r="AP168" i="1"/>
  <c r="AP169" i="1"/>
  <c r="L169" i="1"/>
  <c r="L172" i="1"/>
  <c r="AJ182" i="1"/>
  <c r="AJ183" i="1"/>
  <c r="D185" i="1"/>
  <c r="AB185" i="1"/>
  <c r="W166" i="1"/>
  <c r="W167" i="1"/>
  <c r="K168" i="1"/>
  <c r="K169" i="1"/>
  <c r="W170" i="1"/>
  <c r="W171" i="1"/>
  <c r="K172" i="1"/>
  <c r="AI173" i="1"/>
  <c r="AK173" i="1" s="1"/>
  <c r="K176" i="1"/>
  <c r="K177" i="1"/>
  <c r="L177" i="1" s="1"/>
  <c r="AP184" i="1"/>
  <c r="AR184" i="1" s="1"/>
  <c r="AL185" i="1"/>
  <c r="B186" i="1"/>
  <c r="R186" i="1"/>
  <c r="Z186" i="1"/>
  <c r="AB163" i="1"/>
  <c r="AQ182" i="1"/>
  <c r="AS182" i="1" s="1"/>
  <c r="S186" i="1"/>
  <c r="U186" i="1" s="1"/>
  <c r="C178" i="1"/>
  <c r="AQ183" i="1"/>
  <c r="AS183" i="1" s="1"/>
  <c r="H185" i="1"/>
  <c r="AF185" i="1"/>
  <c r="J185" i="1"/>
  <c r="AH185" i="1"/>
  <c r="H174" i="1"/>
  <c r="D183" i="1"/>
  <c r="C126" i="2" l="1"/>
  <c r="E126" i="2"/>
  <c r="E141" i="2" s="1"/>
  <c r="E149" i="2" s="1"/>
  <c r="D126" i="2"/>
  <c r="D141" i="2" s="1"/>
  <c r="D149" i="2" s="1"/>
  <c r="B141" i="2"/>
  <c r="F141" i="2"/>
  <c r="F149" i="2" s="1"/>
  <c r="C144" i="3"/>
  <c r="E144" i="3"/>
  <c r="E161" i="3" s="1"/>
  <c r="E162" i="3" s="1"/>
  <c r="E169" i="3" s="1"/>
  <c r="D167" i="3"/>
  <c r="F162" i="3"/>
  <c r="F169" i="3" s="1"/>
  <c r="D144" i="3"/>
  <c r="D161" i="3"/>
  <c r="D162" i="3" s="1"/>
  <c r="D169" i="3" s="1"/>
  <c r="B161" i="3"/>
  <c r="C141" i="2"/>
  <c r="B19" i="2"/>
  <c r="B30" i="2" s="1"/>
  <c r="B142" i="2" s="1"/>
  <c r="B149" i="2" s="1"/>
  <c r="C161" i="3"/>
  <c r="D24" i="3"/>
  <c r="C25" i="3"/>
  <c r="C48" i="3" s="1"/>
  <c r="B25" i="3"/>
  <c r="D47" i="3"/>
  <c r="C29" i="2"/>
  <c r="C30" i="2" s="1"/>
  <c r="C142" i="2" s="1"/>
  <c r="E147" i="2"/>
  <c r="C148" i="2"/>
  <c r="AH105" i="1"/>
  <c r="Z164" i="1"/>
  <c r="O164" i="1"/>
  <c r="W73" i="1"/>
  <c r="Y73" i="1" s="1"/>
  <c r="Q73" i="1"/>
  <c r="P73" i="1"/>
  <c r="AL186" i="1"/>
  <c r="AN186" i="1" s="1"/>
  <c r="AN185" i="1"/>
  <c r="M169" i="1"/>
  <c r="AQ169" i="1"/>
  <c r="AS169" i="1" s="1"/>
  <c r="AP160" i="1"/>
  <c r="AR160" i="1" s="1"/>
  <c r="Q186" i="1"/>
  <c r="W186" i="1"/>
  <c r="Y186" i="1" s="1"/>
  <c r="X144" i="1"/>
  <c r="Y144" i="1"/>
  <c r="L178" i="1"/>
  <c r="AQ120" i="1"/>
  <c r="AS120" i="1" s="1"/>
  <c r="AR147" i="1"/>
  <c r="AR131" i="1"/>
  <c r="AI141" i="1"/>
  <c r="AK141" i="1" s="1"/>
  <c r="M126" i="1"/>
  <c r="AQ126" i="1"/>
  <c r="J110" i="1"/>
  <c r="D110" i="1"/>
  <c r="AI102" i="1"/>
  <c r="AC102" i="1"/>
  <c r="L126" i="1"/>
  <c r="AP126" i="1"/>
  <c r="AR126" i="1" s="1"/>
  <c r="AQ152" i="1"/>
  <c r="V102" i="1"/>
  <c r="P102" i="1"/>
  <c r="AP94" i="1"/>
  <c r="AR94" i="1" s="1"/>
  <c r="L94" i="1"/>
  <c r="AR104" i="1"/>
  <c r="AR98" i="1"/>
  <c r="E90" i="1"/>
  <c r="K90" i="1"/>
  <c r="C105" i="1"/>
  <c r="C164" i="1"/>
  <c r="K73" i="1"/>
  <c r="E73" i="1"/>
  <c r="AP95" i="1"/>
  <c r="AR95" i="1" s="1"/>
  <c r="J84" i="1"/>
  <c r="D84" i="1"/>
  <c r="E84" i="1"/>
  <c r="J25" i="1"/>
  <c r="D25" i="1"/>
  <c r="AM27" i="1"/>
  <c r="AO26" i="1"/>
  <c r="M94" i="1"/>
  <c r="H78" i="1"/>
  <c r="F84" i="1"/>
  <c r="T32" i="1"/>
  <c r="R36" i="1"/>
  <c r="T36" i="1" s="1"/>
  <c r="AF17" i="1"/>
  <c r="AD27" i="1"/>
  <c r="K49" i="1"/>
  <c r="E49" i="1"/>
  <c r="AR97" i="1"/>
  <c r="AR46" i="1"/>
  <c r="D56" i="1"/>
  <c r="J56" i="1"/>
  <c r="H45" i="1"/>
  <c r="F49" i="1"/>
  <c r="AR20" i="1"/>
  <c r="E178" i="1"/>
  <c r="K178" i="1"/>
  <c r="M168" i="1"/>
  <c r="AQ168" i="1"/>
  <c r="AS168" i="1" s="1"/>
  <c r="AP172" i="1"/>
  <c r="AR172" i="1" s="1"/>
  <c r="AR171" i="1"/>
  <c r="Y172" i="1"/>
  <c r="AJ173" i="1"/>
  <c r="AN141" i="1"/>
  <c r="AI90" i="1"/>
  <c r="AK90" i="1" s="1"/>
  <c r="AC90" i="1"/>
  <c r="AA105" i="1"/>
  <c r="AP123" i="1"/>
  <c r="AR123" i="1" s="1"/>
  <c r="M160" i="1"/>
  <c r="AQ160" i="1"/>
  <c r="AJ160" i="1"/>
  <c r="T84" i="1"/>
  <c r="AQ112" i="1"/>
  <c r="M112" i="1"/>
  <c r="AS92" i="1"/>
  <c r="L77" i="1"/>
  <c r="AP77" i="1"/>
  <c r="AR77" i="1" s="1"/>
  <c r="D90" i="1"/>
  <c r="J90" i="1"/>
  <c r="B105" i="1"/>
  <c r="AQ66" i="1"/>
  <c r="AS66" i="1" s="1"/>
  <c r="Y66" i="1"/>
  <c r="X66" i="1"/>
  <c r="W84" i="1"/>
  <c r="AI73" i="1"/>
  <c r="AK73" i="1" s="1"/>
  <c r="AC73" i="1"/>
  <c r="AB73" i="1"/>
  <c r="P27" i="1"/>
  <c r="N50" i="1"/>
  <c r="V27" i="1"/>
  <c r="H36" i="1"/>
  <c r="V26" i="1"/>
  <c r="P26" i="1"/>
  <c r="AP69" i="1"/>
  <c r="Q45" i="1"/>
  <c r="O49" i="1"/>
  <c r="P49" i="1" s="1"/>
  <c r="W45" i="1"/>
  <c r="Y45" i="1" s="1"/>
  <c r="Y88" i="1"/>
  <c r="AQ69" i="1"/>
  <c r="AS69" i="1" s="1"/>
  <c r="Y69" i="1"/>
  <c r="AC26" i="1"/>
  <c r="AI26" i="1"/>
  <c r="AQ12" i="1"/>
  <c r="AS12" i="1" s="1"/>
  <c r="M12" i="1"/>
  <c r="F27" i="1"/>
  <c r="H17" i="1"/>
  <c r="M177" i="1"/>
  <c r="AQ177" i="1"/>
  <c r="AS177" i="1" s="1"/>
  <c r="Y167" i="1"/>
  <c r="AQ167" i="1"/>
  <c r="AS167" i="1" s="1"/>
  <c r="AQ162" i="1"/>
  <c r="AK162" i="1"/>
  <c r="M173" i="1"/>
  <c r="AQ173" i="1"/>
  <c r="AS173" i="1" s="1"/>
  <c r="AP125" i="1"/>
  <c r="AR125" i="1" s="1"/>
  <c r="L125" i="1"/>
  <c r="M125" i="1"/>
  <c r="Q161" i="1"/>
  <c r="W161" i="1"/>
  <c r="AH141" i="1"/>
  <c r="AB141" i="1"/>
  <c r="AH102" i="1"/>
  <c r="AJ102" i="1" s="1"/>
  <c r="AB102" i="1"/>
  <c r="AP154" i="1"/>
  <c r="AR154" i="1" s="1"/>
  <c r="L154" i="1"/>
  <c r="AP143" i="1"/>
  <c r="AR83" i="1"/>
  <c r="AS89" i="1"/>
  <c r="N105" i="1"/>
  <c r="V90" i="1"/>
  <c r="X90" i="1" s="1"/>
  <c r="P90" i="1"/>
  <c r="AJ73" i="1"/>
  <c r="AN26" i="1"/>
  <c r="AL27" i="1"/>
  <c r="AF26" i="1"/>
  <c r="AH26" i="1"/>
  <c r="AJ26" i="1" s="1"/>
  <c r="Q71" i="1"/>
  <c r="P71" i="1"/>
  <c r="W71" i="1"/>
  <c r="D14" i="1"/>
  <c r="B17" i="1"/>
  <c r="J14" i="1"/>
  <c r="X73" i="1"/>
  <c r="W32" i="1"/>
  <c r="O36" i="1"/>
  <c r="Q32" i="1"/>
  <c r="AR85" i="1"/>
  <c r="G164" i="1"/>
  <c r="I73" i="1"/>
  <c r="H73" i="1"/>
  <c r="D26" i="1"/>
  <c r="J26" i="1"/>
  <c r="AR10" i="1"/>
  <c r="AS10" i="1"/>
  <c r="M176" i="1"/>
  <c r="AQ176" i="1"/>
  <c r="AS176" i="1" s="1"/>
  <c r="Y166" i="1"/>
  <c r="AQ166" i="1"/>
  <c r="AS166" i="1" s="1"/>
  <c r="AR169" i="1"/>
  <c r="L176" i="1"/>
  <c r="P186" i="1"/>
  <c r="V186" i="1"/>
  <c r="AR182" i="1"/>
  <c r="AC178" i="1"/>
  <c r="AI178" i="1"/>
  <c r="AB178" i="1"/>
  <c r="AS157" i="1"/>
  <c r="Y143" i="1"/>
  <c r="AB161" i="1"/>
  <c r="AH161" i="1"/>
  <c r="K141" i="1"/>
  <c r="E141" i="1"/>
  <c r="AR106" i="1"/>
  <c r="AS106" i="1"/>
  <c r="Y125" i="1"/>
  <c r="X125" i="1"/>
  <c r="AP118" i="1"/>
  <c r="AR118" i="1" s="1"/>
  <c r="L118" i="1"/>
  <c r="K102" i="1"/>
  <c r="E102" i="1"/>
  <c r="X148" i="1"/>
  <c r="E161" i="1"/>
  <c r="K161" i="1"/>
  <c r="AS139" i="1"/>
  <c r="AR139" i="1"/>
  <c r="D161" i="1"/>
  <c r="J161" i="1"/>
  <c r="AR130" i="1"/>
  <c r="AN78" i="1"/>
  <c r="AL84" i="1"/>
  <c r="W114" i="1"/>
  <c r="Y114" i="1" s="1"/>
  <c r="Q114" i="1"/>
  <c r="X112" i="1"/>
  <c r="E114" i="1"/>
  <c r="K114" i="1"/>
  <c r="AQ121" i="1"/>
  <c r="AS121" i="1" s="1"/>
  <c r="M121" i="1"/>
  <c r="AP88" i="1"/>
  <c r="AR88" i="1" s="1"/>
  <c r="L88" i="1"/>
  <c r="AB90" i="1"/>
  <c r="Z27" i="1"/>
  <c r="AB17" i="1"/>
  <c r="AH17" i="1"/>
  <c r="AS88" i="1"/>
  <c r="P35" i="1"/>
  <c r="V35" i="1"/>
  <c r="X35" i="1" s="1"/>
  <c r="AQ67" i="1"/>
  <c r="AS67" i="1" s="1"/>
  <c r="M67" i="1"/>
  <c r="L48" i="1"/>
  <c r="AP48" i="1"/>
  <c r="AR48" i="1" s="1"/>
  <c r="AH45" i="1"/>
  <c r="AB45" i="1"/>
  <c r="Z49" i="1"/>
  <c r="X30" i="1"/>
  <c r="Y30" i="1"/>
  <c r="AJ81" i="1"/>
  <c r="R164" i="1"/>
  <c r="T73" i="1"/>
  <c r="M43" i="1"/>
  <c r="AQ43" i="1"/>
  <c r="AC36" i="1"/>
  <c r="AI36" i="1"/>
  <c r="AK36" i="1" s="1"/>
  <c r="AK25" i="1"/>
  <c r="AJ25" i="1"/>
  <c r="Q27" i="1"/>
  <c r="O50" i="1"/>
  <c r="W27" i="1"/>
  <c r="Y27" i="1" s="1"/>
  <c r="L168" i="1"/>
  <c r="X167" i="1"/>
  <c r="AR176" i="1"/>
  <c r="D178" i="1"/>
  <c r="AP145" i="1"/>
  <c r="L145" i="1"/>
  <c r="E148" i="1"/>
  <c r="K148" i="1"/>
  <c r="D148" i="1"/>
  <c r="AP157" i="1"/>
  <c r="AR157" i="1" s="1"/>
  <c r="L157" i="1"/>
  <c r="V141" i="1"/>
  <c r="X141" i="1" s="1"/>
  <c r="P141" i="1"/>
  <c r="M158" i="1"/>
  <c r="AQ158" i="1"/>
  <c r="AS158" i="1" s="1"/>
  <c r="Y157" i="1"/>
  <c r="AP119" i="1"/>
  <c r="L119" i="1"/>
  <c r="M119" i="1"/>
  <c r="AR120" i="1"/>
  <c r="AP81" i="1"/>
  <c r="AR81" i="1" s="1"/>
  <c r="L35" i="1"/>
  <c r="AC55" i="1"/>
  <c r="AA56" i="1"/>
  <c r="AI55" i="1"/>
  <c r="AQ55" i="1" s="1"/>
  <c r="AS55" i="1" s="1"/>
  <c r="M103" i="1"/>
  <c r="AQ103" i="1"/>
  <c r="AS103" i="1" s="1"/>
  <c r="AP103" i="1"/>
  <c r="X34" i="1"/>
  <c r="AP34" i="1"/>
  <c r="AR34" i="1" s="1"/>
  <c r="C17" i="1"/>
  <c r="K14" i="1"/>
  <c r="E14" i="1"/>
  <c r="AS77" i="1"/>
  <c r="Q90" i="1"/>
  <c r="I45" i="1"/>
  <c r="G49" i="1"/>
  <c r="I49" i="1" s="1"/>
  <c r="AB55" i="1"/>
  <c r="Z56" i="1"/>
  <c r="AH55" i="1"/>
  <c r="AJ55" i="1" s="1"/>
  <c r="S164" i="1"/>
  <c r="U73" i="1"/>
  <c r="J36" i="1"/>
  <c r="I27" i="1"/>
  <c r="G50" i="1"/>
  <c r="T27" i="1"/>
  <c r="R50" i="1"/>
  <c r="L185" i="1"/>
  <c r="AP185" i="1"/>
  <c r="AH186" i="1"/>
  <c r="AQ172" i="1"/>
  <c r="M172" i="1"/>
  <c r="AR168" i="1"/>
  <c r="AR167" i="1"/>
  <c r="AS174" i="1"/>
  <c r="Y162" i="1"/>
  <c r="P161" i="1"/>
  <c r="V161" i="1"/>
  <c r="X161" i="1" s="1"/>
  <c r="J141" i="1"/>
  <c r="AR132" i="1"/>
  <c r="AR128" i="1"/>
  <c r="AJ148" i="1"/>
  <c r="D114" i="1"/>
  <c r="J114" i="1"/>
  <c r="V114" i="1"/>
  <c r="P114" i="1"/>
  <c r="AE164" i="1"/>
  <c r="AG73" i="1"/>
  <c r="Q102" i="1"/>
  <c r="W102" i="1"/>
  <c r="Y102" i="1" s="1"/>
  <c r="E110" i="1"/>
  <c r="AP31" i="1"/>
  <c r="AR31" i="1" s="1"/>
  <c r="W82" i="1"/>
  <c r="X82" i="1" s="1"/>
  <c r="Q82" i="1"/>
  <c r="AH84" i="1"/>
  <c r="AB84" i="1"/>
  <c r="AB26" i="1"/>
  <c r="L103" i="1"/>
  <c r="Y55" i="1"/>
  <c r="AQ30" i="1"/>
  <c r="AS30" i="1" s="1"/>
  <c r="AR86" i="1"/>
  <c r="J45" i="1"/>
  <c r="AS39" i="1"/>
  <c r="AR75" i="1"/>
  <c r="M99" i="1"/>
  <c r="AQ99" i="1"/>
  <c r="O105" i="1"/>
  <c r="E26" i="1"/>
  <c r="AR72" i="1"/>
  <c r="V56" i="1"/>
  <c r="P56" i="1"/>
  <c r="P45" i="1"/>
  <c r="AS19" i="1"/>
  <c r="AB48" i="1"/>
  <c r="AH48" i="1"/>
  <c r="AJ48" i="1" s="1"/>
  <c r="L43" i="1"/>
  <c r="AB36" i="1"/>
  <c r="S50" i="1"/>
  <c r="U27" i="1"/>
  <c r="AR12" i="1"/>
  <c r="T186" i="1"/>
  <c r="Y171" i="1"/>
  <c r="AQ171" i="1"/>
  <c r="AS171" i="1" s="1"/>
  <c r="L173" i="1"/>
  <c r="X166" i="1"/>
  <c r="E186" i="1"/>
  <c r="K186" i="1"/>
  <c r="AJ172" i="1"/>
  <c r="V178" i="1"/>
  <c r="AP178" i="1" s="1"/>
  <c r="P178" i="1"/>
  <c r="AC185" i="1"/>
  <c r="AI185" i="1"/>
  <c r="AK185" i="1" s="1"/>
  <c r="AA186" i="1"/>
  <c r="AB186" i="1" s="1"/>
  <c r="AR153" i="1"/>
  <c r="AP159" i="1"/>
  <c r="AR159" i="1" s="1"/>
  <c r="L159" i="1"/>
  <c r="M159" i="1"/>
  <c r="AR140" i="1"/>
  <c r="AS140" i="1"/>
  <c r="W141" i="1"/>
  <c r="Q141" i="1"/>
  <c r="AP150" i="1"/>
  <c r="L150" i="1"/>
  <c r="AJ138" i="1"/>
  <c r="M154" i="1"/>
  <c r="AJ133" i="1"/>
  <c r="AP133" i="1"/>
  <c r="AR133" i="1" s="1"/>
  <c r="D141" i="1"/>
  <c r="AP152" i="1"/>
  <c r="AR152" i="1" s="1"/>
  <c r="L152" i="1"/>
  <c r="AP129" i="1"/>
  <c r="X129" i="1"/>
  <c r="AJ152" i="1"/>
  <c r="AC161" i="1"/>
  <c r="AI161" i="1"/>
  <c r="AK161" i="1" s="1"/>
  <c r="AR127" i="1"/>
  <c r="AP112" i="1"/>
  <c r="AR112" i="1" s="1"/>
  <c r="L112" i="1"/>
  <c r="V78" i="1"/>
  <c r="X78" i="1" s="1"/>
  <c r="N84" i="1"/>
  <c r="P78" i="1"/>
  <c r="Q78" i="1"/>
  <c r="AR124" i="1"/>
  <c r="AJ108" i="1"/>
  <c r="M77" i="1"/>
  <c r="AC71" i="1"/>
  <c r="AI71" i="1"/>
  <c r="AR117" i="1"/>
  <c r="AP93" i="1"/>
  <c r="AR93" i="1" s="1"/>
  <c r="M110" i="1"/>
  <c r="AQ110" i="1"/>
  <c r="M71" i="1"/>
  <c r="X110" i="1"/>
  <c r="Y81" i="1"/>
  <c r="AK93" i="1"/>
  <c r="R49" i="1"/>
  <c r="T49" i="1" s="1"/>
  <c r="V45" i="1"/>
  <c r="X45" i="1" s="1"/>
  <c r="T45" i="1"/>
  <c r="Q26" i="1"/>
  <c r="W26" i="1"/>
  <c r="Y26" i="1" s="1"/>
  <c r="M21" i="1"/>
  <c r="AP21" i="1"/>
  <c r="AR21" i="1" s="1"/>
  <c r="L21" i="1"/>
  <c r="Y95" i="1"/>
  <c r="AB82" i="1"/>
  <c r="AH82" i="1"/>
  <c r="AJ82" i="1" s="1"/>
  <c r="K45" i="1"/>
  <c r="AR28" i="1"/>
  <c r="AR61" i="1"/>
  <c r="AM164" i="1"/>
  <c r="AO73" i="1"/>
  <c r="AF73" i="1"/>
  <c r="Y121" i="1"/>
  <c r="AP65" i="1"/>
  <c r="AR65" i="1" s="1"/>
  <c r="Y90" i="1"/>
  <c r="W56" i="1"/>
  <c r="Q56" i="1"/>
  <c r="AS113" i="1"/>
  <c r="AP32" i="1"/>
  <c r="L32" i="1"/>
  <c r="M16" i="1"/>
  <c r="AQ16" i="1"/>
  <c r="L16" i="1"/>
  <c r="AP47" i="1"/>
  <c r="AR47" i="1" s="1"/>
  <c r="AJ47" i="1"/>
  <c r="AH43" i="1"/>
  <c r="AB43" i="1"/>
  <c r="AD45" i="1"/>
  <c r="L12" i="1"/>
  <c r="D186" i="1"/>
  <c r="J186" i="1"/>
  <c r="Y170" i="1"/>
  <c r="AQ170" i="1"/>
  <c r="AS170" i="1" s="1"/>
  <c r="AR173" i="1"/>
  <c r="M185" i="1"/>
  <c r="Y185" i="1"/>
  <c r="Y160" i="1"/>
  <c r="AS175" i="1"/>
  <c r="AR156" i="1"/>
  <c r="AP162" i="1"/>
  <c r="AR162" i="1" s="1"/>
  <c r="E138" i="1"/>
  <c r="K138" i="1"/>
  <c r="AQ137" i="1"/>
  <c r="M137" i="1"/>
  <c r="L137" i="1"/>
  <c r="Y159" i="1"/>
  <c r="AS135" i="1"/>
  <c r="AP144" i="1"/>
  <c r="AR144" i="1" s="1"/>
  <c r="AP108" i="1"/>
  <c r="AR108" i="1" s="1"/>
  <c r="L108" i="1"/>
  <c r="AF141" i="1"/>
  <c r="AS123" i="1"/>
  <c r="Y103" i="1"/>
  <c r="AK143" i="1"/>
  <c r="AQ143" i="1"/>
  <c r="AS143" i="1" s="1"/>
  <c r="AK154" i="1"/>
  <c r="AK123" i="1"/>
  <c r="J102" i="1"/>
  <c r="D102" i="1"/>
  <c r="AS76" i="1"/>
  <c r="AC78" i="1"/>
  <c r="AI78" i="1"/>
  <c r="AK78" i="1" s="1"/>
  <c r="AA84" i="1"/>
  <c r="AR96" i="1"/>
  <c r="AP121" i="1"/>
  <c r="L121" i="1"/>
  <c r="T105" i="1"/>
  <c r="AP109" i="1"/>
  <c r="M109" i="1"/>
  <c r="L109" i="1"/>
  <c r="D73" i="1"/>
  <c r="J78" i="1"/>
  <c r="M78" i="1" s="1"/>
  <c r="AS54" i="1"/>
  <c r="L23" i="1"/>
  <c r="AP23" i="1"/>
  <c r="AR23" i="1" s="1"/>
  <c r="AC45" i="1"/>
  <c r="AI45" i="1"/>
  <c r="AK45" i="1" s="1"/>
  <c r="AA49" i="1"/>
  <c r="P32" i="1"/>
  <c r="V32" i="1"/>
  <c r="N36" i="1"/>
  <c r="AR18" i="1"/>
  <c r="AC17" i="1"/>
  <c r="AI17" i="1"/>
  <c r="AK17" i="1" s="1"/>
  <c r="AA27" i="1"/>
  <c r="AD164" i="1"/>
  <c r="AK114" i="1"/>
  <c r="AS64" i="1"/>
  <c r="AR64" i="1"/>
  <c r="AP82" i="1"/>
  <c r="L55" i="1"/>
  <c r="AP55" i="1"/>
  <c r="K36" i="1"/>
  <c r="E36" i="1"/>
  <c r="AE50" i="1"/>
  <c r="AK54" i="1"/>
  <c r="AR8" i="1"/>
  <c r="C149" i="2" l="1"/>
  <c r="E25" i="3"/>
  <c r="D25" i="3"/>
  <c r="B48" i="3"/>
  <c r="E148" i="2"/>
  <c r="D148" i="2"/>
  <c r="L161" i="1"/>
  <c r="AP161" i="1"/>
  <c r="AR161" i="1" s="1"/>
  <c r="AQ73" i="1"/>
  <c r="M73" i="1"/>
  <c r="L73" i="1"/>
  <c r="AF164" i="1"/>
  <c r="AD179" i="1"/>
  <c r="AC49" i="1"/>
  <c r="AI49" i="1"/>
  <c r="AR67" i="1"/>
  <c r="AI84" i="1"/>
  <c r="AK84" i="1" s="1"/>
  <c r="AC84" i="1"/>
  <c r="AS125" i="1"/>
  <c r="AR166" i="1"/>
  <c r="AR32" i="1"/>
  <c r="P84" i="1"/>
  <c r="V84" i="1"/>
  <c r="X84" i="1" s="1"/>
  <c r="N164" i="1"/>
  <c r="L36" i="1"/>
  <c r="AP36" i="1"/>
  <c r="AR36" i="1" s="1"/>
  <c r="AR103" i="1"/>
  <c r="AJ45" i="1"/>
  <c r="M161" i="1"/>
  <c r="AQ161" i="1"/>
  <c r="W36" i="1"/>
  <c r="Q36" i="1"/>
  <c r="AS65" i="1"/>
  <c r="AS162" i="1"/>
  <c r="X27" i="1"/>
  <c r="Q84" i="1"/>
  <c r="AR30" i="1"/>
  <c r="M49" i="1"/>
  <c r="AP84" i="1"/>
  <c r="L84" i="1"/>
  <c r="M84" i="1"/>
  <c r="AS159" i="1"/>
  <c r="M36" i="1"/>
  <c r="AQ36" i="1"/>
  <c r="AI27" i="1"/>
  <c r="AA50" i="1"/>
  <c r="AC27" i="1"/>
  <c r="AJ43" i="1"/>
  <c r="AK43" i="1"/>
  <c r="AM179" i="1"/>
  <c r="AO179" i="1" s="1"/>
  <c r="AO164" i="1"/>
  <c r="AK71" i="1"/>
  <c r="AJ71" i="1"/>
  <c r="AR129" i="1"/>
  <c r="AS129" i="1"/>
  <c r="M186" i="1"/>
  <c r="AQ186" i="1"/>
  <c r="AS186" i="1" s="1"/>
  <c r="AR185" i="1"/>
  <c r="AJ78" i="1"/>
  <c r="O51" i="1"/>
  <c r="W50" i="1"/>
  <c r="Q50" i="1"/>
  <c r="AJ17" i="1"/>
  <c r="AN84" i="1"/>
  <c r="AL164" i="1"/>
  <c r="AR170" i="1"/>
  <c r="L26" i="1"/>
  <c r="AP26" i="1"/>
  <c r="Y32" i="1"/>
  <c r="AQ32" i="1"/>
  <c r="AS32" i="1" s="1"/>
  <c r="AK26" i="1"/>
  <c r="AR69" i="1"/>
  <c r="N51" i="1"/>
  <c r="V50" i="1"/>
  <c r="X50" i="1" s="1"/>
  <c r="P50" i="1"/>
  <c r="AC105" i="1"/>
  <c r="AI105" i="1"/>
  <c r="AK105" i="1" s="1"/>
  <c r="H49" i="1"/>
  <c r="J49" i="1"/>
  <c r="AD50" i="1"/>
  <c r="AF27" i="1"/>
  <c r="Y78" i="1"/>
  <c r="AR55" i="1"/>
  <c r="AR150" i="1"/>
  <c r="AS150" i="1"/>
  <c r="U50" i="1"/>
  <c r="S51" i="1"/>
  <c r="X56" i="1"/>
  <c r="AP45" i="1"/>
  <c r="L45" i="1"/>
  <c r="AJ84" i="1"/>
  <c r="U164" i="1"/>
  <c r="S179" i="1"/>
  <c r="U179" i="1" s="1"/>
  <c r="AR145" i="1"/>
  <c r="AS145" i="1"/>
  <c r="R179" i="1"/>
  <c r="T179" i="1" s="1"/>
  <c r="T164" i="1"/>
  <c r="Y56" i="1"/>
  <c r="AQ56" i="1"/>
  <c r="AC186" i="1"/>
  <c r="AI186" i="1"/>
  <c r="AK186" i="1" s="1"/>
  <c r="T50" i="1"/>
  <c r="R51" i="1"/>
  <c r="AP43" i="1"/>
  <c r="AR43" i="1" s="1"/>
  <c r="AH27" i="1"/>
  <c r="AJ27" i="1" s="1"/>
  <c r="Z50" i="1"/>
  <c r="AB27" i="1"/>
  <c r="M114" i="1"/>
  <c r="AQ114" i="1"/>
  <c r="AK178" i="1"/>
  <c r="AJ178" i="1"/>
  <c r="L14" i="1"/>
  <c r="AP14" i="1"/>
  <c r="AR14" i="1" s="1"/>
  <c r="AL50" i="1"/>
  <c r="AN27" i="1"/>
  <c r="V105" i="1"/>
  <c r="P105" i="1"/>
  <c r="X26" i="1"/>
  <c r="AS112" i="1"/>
  <c r="L56" i="1"/>
  <c r="AM50" i="1"/>
  <c r="AO27" i="1"/>
  <c r="AK102" i="1"/>
  <c r="D17" i="1"/>
  <c r="J17" i="1"/>
  <c r="B27" i="1"/>
  <c r="AQ26" i="1"/>
  <c r="AS26" i="1" s="1"/>
  <c r="D105" i="1"/>
  <c r="J105" i="1"/>
  <c r="B164" i="1"/>
  <c r="W164" i="1"/>
  <c r="O179" i="1"/>
  <c r="Q164" i="1"/>
  <c r="L186" i="1"/>
  <c r="AP186" i="1"/>
  <c r="M45" i="1"/>
  <c r="AQ45" i="1"/>
  <c r="AS45" i="1" s="1"/>
  <c r="Y82" i="1"/>
  <c r="AQ82" i="1"/>
  <c r="AS82" i="1" s="1"/>
  <c r="P36" i="1"/>
  <c r="V36" i="1"/>
  <c r="X36" i="1" s="1"/>
  <c r="AP102" i="1"/>
  <c r="L102" i="1"/>
  <c r="AS16" i="1"/>
  <c r="AR16" i="1"/>
  <c r="AS110" i="1"/>
  <c r="W105" i="1"/>
  <c r="Y105" i="1" s="1"/>
  <c r="Q105" i="1"/>
  <c r="G51" i="1"/>
  <c r="I50" i="1"/>
  <c r="AB56" i="1"/>
  <c r="AH56" i="1"/>
  <c r="AJ56" i="1" s="1"/>
  <c r="E17" i="1"/>
  <c r="C27" i="1"/>
  <c r="K17" i="1"/>
  <c r="AI56" i="1"/>
  <c r="AC56" i="1"/>
  <c r="AR119" i="1"/>
  <c r="AS119" i="1"/>
  <c r="AS93" i="1"/>
  <c r="AJ161" i="1"/>
  <c r="G179" i="1"/>
  <c r="I179" i="1" s="1"/>
  <c r="I164" i="1"/>
  <c r="AJ141" i="1"/>
  <c r="M26" i="1"/>
  <c r="L90" i="1"/>
  <c r="AP90" i="1"/>
  <c r="AR90" i="1" s="1"/>
  <c r="AR158" i="1"/>
  <c r="M178" i="1"/>
  <c r="AQ178" i="1"/>
  <c r="AS178" i="1" s="1"/>
  <c r="V49" i="1"/>
  <c r="AP25" i="1"/>
  <c r="AR25" i="1" s="1"/>
  <c r="L25" i="1"/>
  <c r="K164" i="1"/>
  <c r="C179" i="1"/>
  <c r="AP110" i="1"/>
  <c r="AR110" i="1" s="1"/>
  <c r="L110" i="1"/>
  <c r="Z179" i="1"/>
  <c r="AH164" i="1"/>
  <c r="AR109" i="1"/>
  <c r="AS109" i="1"/>
  <c r="AQ71" i="1"/>
  <c r="Y141" i="1"/>
  <c r="AQ78" i="1"/>
  <c r="AS78" i="1" s="1"/>
  <c r="AK55" i="1"/>
  <c r="AS21" i="1"/>
  <c r="X32" i="1"/>
  <c r="L78" i="1"/>
  <c r="AP78" i="1"/>
  <c r="AR121" i="1"/>
  <c r="AS154" i="1"/>
  <c r="AS137" i="1"/>
  <c r="AR137" i="1"/>
  <c r="AQ185" i="1"/>
  <c r="AS185" i="1" s="1"/>
  <c r="AS99" i="1"/>
  <c r="AR99" i="1"/>
  <c r="X114" i="1"/>
  <c r="L141" i="1"/>
  <c r="AP141" i="1"/>
  <c r="AR141" i="1" s="1"/>
  <c r="AS172" i="1"/>
  <c r="AS108" i="1"/>
  <c r="AB49" i="1"/>
  <c r="AR66" i="1"/>
  <c r="X186" i="1"/>
  <c r="X71" i="1"/>
  <c r="Y71" i="1"/>
  <c r="AK82" i="1"/>
  <c r="AS81" i="1"/>
  <c r="Y161" i="1"/>
  <c r="AR177" i="1"/>
  <c r="H27" i="1"/>
  <c r="F50" i="1"/>
  <c r="AA164" i="1"/>
  <c r="AS160" i="1"/>
  <c r="AS144" i="1"/>
  <c r="E105" i="1"/>
  <c r="K105" i="1"/>
  <c r="X102" i="1"/>
  <c r="AS126" i="1"/>
  <c r="AJ105" i="1"/>
  <c r="AR82" i="1"/>
  <c r="AE179" i="1"/>
  <c r="AG179" i="1" s="1"/>
  <c r="AG164" i="1"/>
  <c r="M14" i="1"/>
  <c r="AQ14" i="1"/>
  <c r="AQ102" i="1"/>
  <c r="AS102" i="1" s="1"/>
  <c r="M102" i="1"/>
  <c r="M141" i="1"/>
  <c r="AQ141" i="1"/>
  <c r="AE51" i="1"/>
  <c r="AG50" i="1"/>
  <c r="AQ138" i="1"/>
  <c r="M138" i="1"/>
  <c r="L138" i="1"/>
  <c r="AD49" i="1"/>
  <c r="AF49" i="1" s="1"/>
  <c r="AF45" i="1"/>
  <c r="X178" i="1"/>
  <c r="Y178" i="1"/>
  <c r="AS95" i="1"/>
  <c r="L114" i="1"/>
  <c r="AP114" i="1"/>
  <c r="AR114" i="1" s="1"/>
  <c r="AJ186" i="1"/>
  <c r="AJ36" i="1"/>
  <c r="AP35" i="1"/>
  <c r="AR35" i="1" s="1"/>
  <c r="AQ148" i="1"/>
  <c r="M148" i="1"/>
  <c r="L148" i="1"/>
  <c r="AJ185" i="1"/>
  <c r="AJ90" i="1"/>
  <c r="AR143" i="1"/>
  <c r="Q49" i="1"/>
  <c r="W49" i="1"/>
  <c r="Y49" i="1" s="1"/>
  <c r="AS94" i="1"/>
  <c r="Y84" i="1"/>
  <c r="H84" i="1"/>
  <c r="F164" i="1"/>
  <c r="AQ90" i="1"/>
  <c r="M90" i="1"/>
  <c r="AS152" i="1"/>
  <c r="AB105" i="1"/>
  <c r="B49" i="3" l="1"/>
  <c r="C49" i="3"/>
  <c r="B179" i="1"/>
  <c r="D164" i="1"/>
  <c r="J164" i="1"/>
  <c r="AM51" i="1"/>
  <c r="AO50" i="1"/>
  <c r="AS148" i="1"/>
  <c r="AR148" i="1"/>
  <c r="E179" i="1"/>
  <c r="K179" i="1"/>
  <c r="AQ84" i="1"/>
  <c r="AS84" i="1" s="1"/>
  <c r="AS138" i="1"/>
  <c r="AR138" i="1"/>
  <c r="AH179" i="1"/>
  <c r="AB179" i="1"/>
  <c r="X49" i="1"/>
  <c r="M17" i="1"/>
  <c r="AQ17" i="1"/>
  <c r="X105" i="1"/>
  <c r="AR26" i="1"/>
  <c r="O57" i="1"/>
  <c r="W51" i="1"/>
  <c r="Y51" i="1" s="1"/>
  <c r="Q51" i="1"/>
  <c r="AS36" i="1"/>
  <c r="AF179" i="1"/>
  <c r="AG51" i="1"/>
  <c r="AE57" i="1"/>
  <c r="L105" i="1"/>
  <c r="AP105" i="1"/>
  <c r="AB50" i="1"/>
  <c r="Z51" i="1"/>
  <c r="AH50" i="1"/>
  <c r="AJ50" i="1" s="1"/>
  <c r="AS141" i="1"/>
  <c r="AP56" i="1"/>
  <c r="AR56" i="1" s="1"/>
  <c r="AR45" i="1"/>
  <c r="AR186" i="1"/>
  <c r="AS90" i="1"/>
  <c r="E164" i="1"/>
  <c r="AR102" i="1"/>
  <c r="J27" i="1"/>
  <c r="B50" i="1"/>
  <c r="D27" i="1"/>
  <c r="R57" i="1"/>
  <c r="T51" i="1"/>
  <c r="U51" i="1"/>
  <c r="S57" i="1"/>
  <c r="L49" i="1"/>
  <c r="AP49" i="1"/>
  <c r="AR49" i="1" s="1"/>
  <c r="AR84" i="1"/>
  <c r="P164" i="1"/>
  <c r="N179" i="1"/>
  <c r="V164" i="1"/>
  <c r="X164" i="1" s="1"/>
  <c r="C50" i="1"/>
  <c r="E27" i="1"/>
  <c r="K27" i="1"/>
  <c r="AS56" i="1"/>
  <c r="AS71" i="1"/>
  <c r="AR71" i="1"/>
  <c r="AN164" i="1"/>
  <c r="AL179" i="1"/>
  <c r="AN179" i="1" s="1"/>
  <c r="AR78" i="1"/>
  <c r="M164" i="1"/>
  <c r="AQ164" i="1"/>
  <c r="H164" i="1"/>
  <c r="F179" i="1"/>
  <c r="H179" i="1" s="1"/>
  <c r="AH49" i="1"/>
  <c r="AJ49" i="1" s="1"/>
  <c r="G57" i="1"/>
  <c r="I51" i="1"/>
  <c r="L17" i="1"/>
  <c r="AP17" i="1"/>
  <c r="AR17" i="1" s="1"/>
  <c r="AC50" i="1"/>
  <c r="AI50" i="1"/>
  <c r="AA51" i="1"/>
  <c r="AQ49" i="1"/>
  <c r="Y36" i="1"/>
  <c r="AK49" i="1"/>
  <c r="AN50" i="1"/>
  <c r="AL51" i="1"/>
  <c r="AC164" i="1"/>
  <c r="AI164" i="1"/>
  <c r="AK164" i="1" s="1"/>
  <c r="AA179" i="1"/>
  <c r="P51" i="1"/>
  <c r="N57" i="1"/>
  <c r="V51" i="1"/>
  <c r="F51" i="1"/>
  <c r="H50" i="1"/>
  <c r="AD51" i="1"/>
  <c r="AF50" i="1"/>
  <c r="AS73" i="1"/>
  <c r="AR73" i="1"/>
  <c r="AS43" i="1"/>
  <c r="AS14" i="1"/>
  <c r="M105" i="1"/>
  <c r="AQ105" i="1"/>
  <c r="AS105" i="1" s="1"/>
  <c r="AB164" i="1"/>
  <c r="AK56" i="1"/>
  <c r="Q179" i="1"/>
  <c r="W179" i="1"/>
  <c r="AS114" i="1"/>
  <c r="Y50" i="1"/>
  <c r="AK27" i="1"/>
  <c r="AS161" i="1"/>
  <c r="AR178" i="1"/>
  <c r="B55" i="3" l="1"/>
  <c r="B162" i="3" s="1"/>
  <c r="B169" i="3" s="1"/>
  <c r="C55" i="3"/>
  <c r="C162" i="3" s="1"/>
  <c r="C169" i="3" s="1"/>
  <c r="Z57" i="1"/>
  <c r="AH51" i="1"/>
  <c r="AB51" i="1"/>
  <c r="AF51" i="1"/>
  <c r="AD57" i="1"/>
  <c r="AP27" i="1"/>
  <c r="AR27" i="1" s="1"/>
  <c r="L27" i="1"/>
  <c r="M27" i="1"/>
  <c r="AQ27" i="1"/>
  <c r="S180" i="1"/>
  <c r="U57" i="1"/>
  <c r="O180" i="1"/>
  <c r="Q57" i="1"/>
  <c r="W57" i="1"/>
  <c r="Y57" i="1" s="1"/>
  <c r="N180" i="1"/>
  <c r="P57" i="1"/>
  <c r="V57" i="1"/>
  <c r="G180" i="1"/>
  <c r="I57" i="1"/>
  <c r="Y179" i="1"/>
  <c r="AS49" i="1"/>
  <c r="AJ164" i="1"/>
  <c r="V179" i="1"/>
  <c r="X179" i="1" s="1"/>
  <c r="P179" i="1"/>
  <c r="R180" i="1"/>
  <c r="T57" i="1"/>
  <c r="AE180" i="1"/>
  <c r="AG57" i="1"/>
  <c r="L164" i="1"/>
  <c r="AP164" i="1"/>
  <c r="AR164" i="1" s="1"/>
  <c r="X51" i="1"/>
  <c r="AR105" i="1"/>
  <c r="AM57" i="1"/>
  <c r="AO51" i="1"/>
  <c r="AC179" i="1"/>
  <c r="AI179" i="1"/>
  <c r="AK179" i="1" s="1"/>
  <c r="AA57" i="1"/>
  <c r="AI51" i="1"/>
  <c r="AK51" i="1" s="1"/>
  <c r="AC51" i="1"/>
  <c r="Y164" i="1"/>
  <c r="AN51" i="1"/>
  <c r="AL57" i="1"/>
  <c r="F57" i="1"/>
  <c r="H51" i="1"/>
  <c r="K50" i="1"/>
  <c r="C51" i="1"/>
  <c r="E50" i="1"/>
  <c r="AK50" i="1"/>
  <c r="D50" i="1"/>
  <c r="J50" i="1"/>
  <c r="B51" i="1"/>
  <c r="AS17" i="1"/>
  <c r="M179" i="1"/>
  <c r="AQ179" i="1"/>
  <c r="J179" i="1"/>
  <c r="D179" i="1"/>
  <c r="V180" i="1" l="1"/>
  <c r="N187" i="1"/>
  <c r="P180" i="1"/>
  <c r="M50" i="1"/>
  <c r="AQ50" i="1"/>
  <c r="L50" i="1"/>
  <c r="AP50" i="1"/>
  <c r="AR50" i="1" s="1"/>
  <c r="AE187" i="1"/>
  <c r="AG187" i="1" s="1"/>
  <c r="AG180" i="1"/>
  <c r="AL180" i="1"/>
  <c r="AN57" i="1"/>
  <c r="G187" i="1"/>
  <c r="I187" i="1" s="1"/>
  <c r="I180" i="1"/>
  <c r="S187" i="1"/>
  <c r="U187" i="1" s="1"/>
  <c r="U180" i="1"/>
  <c r="AJ51" i="1"/>
  <c r="E51" i="1"/>
  <c r="C57" i="1"/>
  <c r="K51" i="1"/>
  <c r="AA180" i="1"/>
  <c r="AI57" i="1"/>
  <c r="AK57" i="1" s="1"/>
  <c r="AC57" i="1"/>
  <c r="AD180" i="1"/>
  <c r="AF57" i="1"/>
  <c r="O187" i="1"/>
  <c r="Q180" i="1"/>
  <c r="W180" i="1"/>
  <c r="Y180" i="1" s="1"/>
  <c r="AM180" i="1"/>
  <c r="AO57" i="1"/>
  <c r="R187" i="1"/>
  <c r="T187" i="1" s="1"/>
  <c r="T180" i="1"/>
  <c r="X57" i="1"/>
  <c r="AS27" i="1"/>
  <c r="Z180" i="1"/>
  <c r="AH57" i="1"/>
  <c r="AB57" i="1"/>
  <c r="D51" i="1"/>
  <c r="B57" i="1"/>
  <c r="J51" i="1"/>
  <c r="F180" i="1"/>
  <c r="H57" i="1"/>
  <c r="AP179" i="1"/>
  <c r="AR179" i="1" s="1"/>
  <c r="L179" i="1"/>
  <c r="AJ179" i="1"/>
  <c r="AS164" i="1"/>
  <c r="AD187" i="1" l="1"/>
  <c r="AF187" i="1" s="1"/>
  <c r="AF180" i="1"/>
  <c r="AS50" i="1"/>
  <c r="AM187" i="1"/>
  <c r="AO187" i="1" s="1"/>
  <c r="AO180" i="1"/>
  <c r="AA187" i="1"/>
  <c r="AC180" i="1"/>
  <c r="AI180" i="1"/>
  <c r="AK180" i="1" s="1"/>
  <c r="M51" i="1"/>
  <c r="AQ51" i="1"/>
  <c r="Z187" i="1"/>
  <c r="AH180" i="1"/>
  <c r="AB180" i="1"/>
  <c r="C180" i="1"/>
  <c r="E57" i="1"/>
  <c r="K57" i="1"/>
  <c r="AL187" i="1"/>
  <c r="AN180" i="1"/>
  <c r="P187" i="1"/>
  <c r="V187" i="1"/>
  <c r="Q187" i="1"/>
  <c r="W187" i="1"/>
  <c r="Y187" i="1" s="1"/>
  <c r="X180" i="1"/>
  <c r="AP51" i="1"/>
  <c r="AR51" i="1" s="1"/>
  <c r="L51" i="1"/>
  <c r="B180" i="1"/>
  <c r="D57" i="1"/>
  <c r="J57" i="1"/>
  <c r="AJ57" i="1"/>
  <c r="F187" i="1"/>
  <c r="H187" i="1" s="1"/>
  <c r="H180" i="1"/>
  <c r="AS179" i="1"/>
  <c r="C187" i="1" l="1"/>
  <c r="E180" i="1"/>
  <c r="K180" i="1"/>
  <c r="X187" i="1"/>
  <c r="AB187" i="1"/>
  <c r="AH187" i="1"/>
  <c r="AC187" i="1"/>
  <c r="AI187" i="1"/>
  <c r="AK187" i="1" s="1"/>
  <c r="B187" i="1"/>
  <c r="J180" i="1"/>
  <c r="D180" i="1"/>
  <c r="AS51" i="1"/>
  <c r="AQ57" i="1"/>
  <c r="M57" i="1"/>
  <c r="AP57" i="1"/>
  <c r="AR57" i="1" s="1"/>
  <c r="L57" i="1"/>
  <c r="AJ180" i="1"/>
  <c r="AN187" i="1"/>
  <c r="AS57" i="1" l="1"/>
  <c r="AP180" i="1"/>
  <c r="L180" i="1"/>
  <c r="AJ187" i="1"/>
  <c r="M180" i="1"/>
  <c r="AQ180" i="1"/>
  <c r="AS180" i="1" s="1"/>
  <c r="D187" i="1"/>
  <c r="J187" i="1"/>
  <c r="E187" i="1"/>
  <c r="K187" i="1"/>
  <c r="L187" i="1" l="1"/>
  <c r="AP187" i="1"/>
  <c r="M187" i="1"/>
  <c r="AQ187" i="1"/>
  <c r="AS187" i="1" s="1"/>
  <c r="AR180" i="1"/>
  <c r="AR187" i="1" l="1"/>
</calcChain>
</file>

<file path=xl/sharedStrings.xml><?xml version="1.0" encoding="utf-8"?>
<sst xmlns="http://schemas.openxmlformats.org/spreadsheetml/2006/main" count="598" uniqueCount="275">
  <si>
    <t>General Government</t>
  </si>
  <si>
    <t>Ordinary (G)</t>
  </si>
  <si>
    <t>Total General Government</t>
  </si>
  <si>
    <t>Sewer Department</t>
  </si>
  <si>
    <t>Ordinary (S)</t>
  </si>
  <si>
    <t>Total Sewer Department</t>
  </si>
  <si>
    <t>Water Department</t>
  </si>
  <si>
    <t>Ordinary (W)</t>
  </si>
  <si>
    <t>Total Water Department</t>
  </si>
  <si>
    <t>Not Specified</t>
  </si>
  <si>
    <t>TOTAL</t>
  </si>
  <si>
    <t>Actual</t>
  </si>
  <si>
    <t>Budget</t>
  </si>
  <si>
    <t>over Budget</t>
  </si>
  <si>
    <t>% of Budget</t>
  </si>
  <si>
    <t>Revenue</t>
  </si>
  <si>
    <t xml:space="preserve">   4000 Revenue</t>
  </si>
  <si>
    <t xml:space="preserve">      4100 General Government Revenue</t>
  </si>
  <si>
    <t xml:space="preserve">         4200 General Operating Revenue</t>
  </si>
  <si>
    <t xml:space="preserve">            4210 RE Tax Revenue</t>
  </si>
  <si>
    <t xml:space="preserve">               4217 2023 RE Tax Revenue</t>
  </si>
  <si>
    <t xml:space="preserve">               4223 RE Tax Revenue (Need Detail)</t>
  </si>
  <si>
    <t xml:space="preserve">            Total 4210 RE Tax Revenue</t>
  </si>
  <si>
    <t xml:space="preserve">            4230 Town of Northport Revenue</t>
  </si>
  <si>
    <t xml:space="preserve">            4235 Rent from Utilities</t>
  </si>
  <si>
    <t xml:space="preserve">         Total 4200 General Operating Revenue</t>
  </si>
  <si>
    <t xml:space="preserve">         4300 General Non-Operating Revenue</t>
  </si>
  <si>
    <t xml:space="preserve">            4058 Community Hall Rentals</t>
  </si>
  <si>
    <t xml:space="preserve">            4075 Watercraft Registration Revenue</t>
  </si>
  <si>
    <t xml:space="preserve">            4310 Interest Income (G)</t>
  </si>
  <si>
    <t xml:space="preserve">            4311 Dividend Income</t>
  </si>
  <si>
    <t xml:space="preserve">            4330 Donations</t>
  </si>
  <si>
    <t xml:space="preserve">               4333 Library Donations</t>
  </si>
  <si>
    <t xml:space="preserve">            Total 4330 Donations</t>
  </si>
  <si>
    <t xml:space="preserve">         Total 4300 General Non-Operating Revenue</t>
  </si>
  <si>
    <t xml:space="preserve">      Total 4100 General Government Revenue</t>
  </si>
  <si>
    <t xml:space="preserve">      4400 Sewer Revenue</t>
  </si>
  <si>
    <t xml:space="preserve">         4500 Sewer Operating Revenue</t>
  </si>
  <si>
    <t xml:space="preserve">            4510 Sewer Fees</t>
  </si>
  <si>
    <t xml:space="preserve">            4530 Interest (S)</t>
  </si>
  <si>
    <t xml:space="preserve">         Total 4500 Sewer Operating Revenue</t>
  </si>
  <si>
    <t xml:space="preserve">         4600 Sewer Non-Operating Revenue</t>
  </si>
  <si>
    <t xml:space="preserve">            4610 Interest Revenue (S)</t>
  </si>
  <si>
    <t xml:space="preserve">         Total 4600 Sewer Non-Operating Revenue</t>
  </si>
  <si>
    <t xml:space="preserve">      Total 4400 Sewer Revenue</t>
  </si>
  <si>
    <t xml:space="preserve">      4700 Water Revenue</t>
  </si>
  <si>
    <t xml:space="preserve">         4800 Water Operating Revenue</t>
  </si>
  <si>
    <t xml:space="preserve">            4810 Water Sales</t>
  </si>
  <si>
    <t xml:space="preserve">            4820 Water Service Fee Revenue</t>
  </si>
  <si>
    <t xml:space="preserve">               4830 Interest (W)</t>
  </si>
  <si>
    <t xml:space="preserve">               4832 Miscellaneous Revenue (W)</t>
  </si>
  <si>
    <t xml:space="preserve">            Total 4820 Water Service Fee Revenue</t>
  </si>
  <si>
    <t xml:space="preserve">            4840 Hydrant Rental Revenue</t>
  </si>
  <si>
    <t xml:space="preserve">         Total 4800 Water Operating Revenue</t>
  </si>
  <si>
    <t xml:space="preserve">         4900 Water Non-Operating Revenue</t>
  </si>
  <si>
    <t xml:space="preserve">            4910 Interest Income (W)</t>
  </si>
  <si>
    <t xml:space="preserve">         Total 4900 Water Non-Operating Revenue</t>
  </si>
  <si>
    <t xml:space="preserve">      Total 4700 Water Revenue</t>
  </si>
  <si>
    <t xml:space="preserve">   Total 4000 Revenue</t>
  </si>
  <si>
    <t>Total Revenue</t>
  </si>
  <si>
    <t>Cost of Goods Sold</t>
  </si>
  <si>
    <t xml:space="preserve">   5000 Cost of Goods Sold</t>
  </si>
  <si>
    <t xml:space="preserve">      5100 COGS - Water Purchases</t>
  </si>
  <si>
    <t xml:space="preserve">   Total 5000 Cost of Goods Sold</t>
  </si>
  <si>
    <t>Total Cost of Goods Sold</t>
  </si>
  <si>
    <t>Gross Profit</t>
  </si>
  <si>
    <t>Expenditures</t>
  </si>
  <si>
    <t xml:space="preserve">   6000 Expenses</t>
  </si>
  <si>
    <t xml:space="preserve">      6010 1099 Contractors</t>
  </si>
  <si>
    <t xml:space="preserve">         6015 Casual Labor</t>
  </si>
  <si>
    <t xml:space="preserve">         6020 Contracted Services</t>
  </si>
  <si>
    <t xml:space="preserve">            6021 Mowing &amp; Trimming Service</t>
  </si>
  <si>
    <t xml:space="preserve">            6022 Trash Collection</t>
  </si>
  <si>
    <t xml:space="preserve">         Total 6020 Contracted Services</t>
  </si>
  <si>
    <t xml:space="preserve">         6036 Bookkeeping</t>
  </si>
  <si>
    <t xml:space="preserve">         6037 Office Assistant</t>
  </si>
  <si>
    <t xml:space="preserve">         6045 Utilities Superintendent</t>
  </si>
  <si>
    <t xml:space="preserve">            6046 Sewer Utility Superintendent</t>
  </si>
  <si>
    <t xml:space="preserve">            6047 Water Utility Superintendent</t>
  </si>
  <si>
    <t xml:space="preserve">         Total 6045 Utilities Superintendent</t>
  </si>
  <si>
    <t xml:space="preserve">         6062 Accounting</t>
  </si>
  <si>
    <t xml:space="preserve">      Total 6010 1099 Contractors</t>
  </si>
  <si>
    <t xml:space="preserve">      6050 Auto Expenses</t>
  </si>
  <si>
    <t xml:space="preserve">         6051 Auto Fuel Expense</t>
  </si>
  <si>
    <t xml:space="preserve">            6052 Cruiser Fuel</t>
  </si>
  <si>
    <t xml:space="preserve">            6053 Truck Fuel</t>
  </si>
  <si>
    <t xml:space="preserve">         Total 6051 Auto Fuel Expense</t>
  </si>
  <si>
    <t xml:space="preserve">         6055 Auto Repairs &amp; Maintenance</t>
  </si>
  <si>
    <t xml:space="preserve">            6056 Cruiser Maintenance</t>
  </si>
  <si>
    <t xml:space="preserve">            6057 Truck Maintenance</t>
  </si>
  <si>
    <t xml:space="preserve">         Total 6055 Auto Repairs &amp; Maintenance</t>
  </si>
  <si>
    <t xml:space="preserve">         6059 Accrue for Truck Replacement</t>
  </si>
  <si>
    <t xml:space="preserve">      Total 6050 Auto Expenses</t>
  </si>
  <si>
    <t xml:space="preserve">      6065 Community Events</t>
  </si>
  <si>
    <t xml:space="preserve">      6070 Employee Wages &amp; Benefits</t>
  </si>
  <si>
    <t xml:space="preserve">         6075 Employee Benefits</t>
  </si>
  <si>
    <t xml:space="preserve">            6076 Company Paid Benefits</t>
  </si>
  <si>
    <t xml:space="preserve">            6077 Income Protection Plan</t>
  </si>
  <si>
    <t xml:space="preserve">         Total 6075 Employee Benefits</t>
  </si>
  <si>
    <t xml:space="preserve">         6080 Employee Salaries &amp; Wages</t>
  </si>
  <si>
    <t xml:space="preserve">            6081 Collection System Operator Wages</t>
  </si>
  <si>
    <t xml:space="preserve">            6082 Distribution Officer Wages</t>
  </si>
  <si>
    <t xml:space="preserve">            6083 Lifeguard Wages</t>
  </si>
  <si>
    <t xml:space="preserve">            6084 Office Personnel Wages</t>
  </si>
  <si>
    <t xml:space="preserve">            6085 Police Wages</t>
  </si>
  <si>
    <t xml:space="preserve">            6086 Treatment Plant Operator Wages</t>
  </si>
  <si>
    <t xml:space="preserve">            6087 Utility Billing Wages</t>
  </si>
  <si>
    <t xml:space="preserve">            6088 Village Agent Wages</t>
  </si>
  <si>
    <t xml:space="preserve">            6089 Village Officials Wages</t>
  </si>
  <si>
    <t xml:space="preserve">            6090 Winter Roads Wages</t>
  </si>
  <si>
    <t xml:space="preserve">         Total 6080 Employee Salaries &amp; Wages</t>
  </si>
  <si>
    <t xml:space="preserve">         6095 Payroll Processing Expenses</t>
  </si>
  <si>
    <t xml:space="preserve">         6096 Payroll Tax Expenses</t>
  </si>
  <si>
    <t xml:space="preserve">      Total 6070 Employee Wages &amp; Benefits</t>
  </si>
  <si>
    <t xml:space="preserve">      6150 Information &amp; Notices</t>
  </si>
  <si>
    <t xml:space="preserve">      6160 Insurance</t>
  </si>
  <si>
    <t xml:space="preserve">         6161 Property &amp; Casualty Insurance</t>
  </si>
  <si>
    <t xml:space="preserve">         6162 Workers Comp Insurance</t>
  </si>
  <si>
    <t xml:space="preserve">      Total 6160 Insurance</t>
  </si>
  <si>
    <t xml:space="preserve">      6190 Legal &amp; Professional Services</t>
  </si>
  <si>
    <t xml:space="preserve">         6191 Auditing Services</t>
  </si>
  <si>
    <t xml:space="preserve">         6193 Legal Fees</t>
  </si>
  <si>
    <t xml:space="preserve">      Total 6190 Legal &amp; Professional Services</t>
  </si>
  <si>
    <t xml:space="preserve">      6210 Licenses, Permits and Fees</t>
  </si>
  <si>
    <t xml:space="preserve">      6230 Business Meals</t>
  </si>
  <si>
    <t xml:space="preserve">         6232 100% Meals</t>
  </si>
  <si>
    <t xml:space="preserve">      Total 6230 Business Meals</t>
  </si>
  <si>
    <t xml:space="preserve">      6240 Membership Dues</t>
  </si>
  <si>
    <t xml:space="preserve">      6260 Office Supplies</t>
  </si>
  <si>
    <t xml:space="preserve">      6285 Postage</t>
  </si>
  <si>
    <t xml:space="preserve">      6305 Regulatory Fees</t>
  </si>
  <si>
    <t xml:space="preserve">      6325 Rent Expense</t>
  </si>
  <si>
    <t xml:space="preserve">      6330 Repairs &amp; Maintenance</t>
  </si>
  <si>
    <t xml:space="preserve">         6331 Building Repairs &amp; Maintenance</t>
  </si>
  <si>
    <t xml:space="preserve">         6332 Cleaning</t>
  </si>
  <si>
    <t xml:space="preserve">         6333 Grounds General Maintenance</t>
  </si>
  <si>
    <t xml:space="preserve">         6334 Road Maintenance</t>
  </si>
  <si>
    <t xml:space="preserve">         6335 Sludge Removal</t>
  </si>
  <si>
    <t xml:space="preserve">         6336 Tree Maintenance</t>
  </si>
  <si>
    <t xml:space="preserve">         6337 Wharf &amp; Floats Maintenance</t>
  </si>
  <si>
    <t xml:space="preserve">         6341 Browntail Moth Expenses</t>
  </si>
  <si>
    <t xml:space="preserve">         6342 General Repairs &amp; Maintenance</t>
  </si>
  <si>
    <t xml:space="preserve">         6411 Parks</t>
  </si>
  <si>
    <t xml:space="preserve">            6412 Tree Removal</t>
  </si>
  <si>
    <t xml:space="preserve">            6414 Parks- Contracted Services</t>
  </si>
  <si>
    <t xml:space="preserve">            6415 Parks- General Maintenance</t>
  </si>
  <si>
    <t xml:space="preserve">         Total 6411 Parks</t>
  </si>
  <si>
    <t xml:space="preserve">         6440 Library Operations &amp; Maintenance</t>
  </si>
  <si>
    <t xml:space="preserve">         6441 Library Repairs</t>
  </si>
  <si>
    <t xml:space="preserve">      Total 6330 Repairs &amp; Maintenance</t>
  </si>
  <si>
    <t xml:space="preserve">      6344 Safety Committee Operations</t>
  </si>
  <si>
    <t xml:space="preserve">      6345 Software</t>
  </si>
  <si>
    <t xml:space="preserve">      6350 Supplies</t>
  </si>
  <si>
    <t xml:space="preserve">      6360 Tax Collection Fees</t>
  </si>
  <si>
    <t xml:space="preserve">      6370 Training</t>
  </si>
  <si>
    <t xml:space="preserve">         6371 Police Training</t>
  </si>
  <si>
    <t xml:space="preserve">      Total 6370 Training</t>
  </si>
  <si>
    <t xml:space="preserve">      6390 Uniforms, Equipment &amp; Supplies</t>
  </si>
  <si>
    <t xml:space="preserve">         6391 Lifeguard Uni/Equip/Supp</t>
  </si>
  <si>
    <t xml:space="preserve">         6392 Police Uni/Equip/Supp</t>
  </si>
  <si>
    <t xml:space="preserve">      Total 6390 Uniforms, Equipment &amp; Supplies</t>
  </si>
  <si>
    <t xml:space="preserve">      6400 Utilities</t>
  </si>
  <si>
    <t xml:space="preserve">         6401 Electricity Expense</t>
  </si>
  <si>
    <t xml:space="preserve">         6402 Oil/Propane</t>
  </si>
  <si>
    <t xml:space="preserve">         6403 Hydrant Rental</t>
  </si>
  <si>
    <t xml:space="preserve">         6404 Propane</t>
  </si>
  <si>
    <t xml:space="preserve">         6405 Street Lights</t>
  </si>
  <si>
    <t xml:space="preserve">         6406 Telephone &amp; Internet Expense</t>
  </si>
  <si>
    <t xml:space="preserve">         6407 Water &amp; Sewer</t>
  </si>
  <si>
    <t xml:space="preserve">      Total 6400 Utilities</t>
  </si>
  <si>
    <t xml:space="preserve">      6500 Water Testing</t>
  </si>
  <si>
    <t xml:space="preserve">      6999 Uncategorized Expense</t>
  </si>
  <si>
    <t xml:space="preserve">   Total 6000 Expenses</t>
  </si>
  <si>
    <t xml:space="preserve">   6800 Bond Expenses</t>
  </si>
  <si>
    <t xml:space="preserve">      6810 2008 MMBB Bond Principal</t>
  </si>
  <si>
    <t xml:space="preserve">      6811 2008 MMBB Bond Interest</t>
  </si>
  <si>
    <t xml:space="preserve">      6812 2009 MMBB Bond Principal</t>
  </si>
  <si>
    <t xml:space="preserve">      6813 2009 MMBB Bond Interest</t>
  </si>
  <si>
    <t xml:space="preserve">      6814 2012 USDA Bond Principal</t>
  </si>
  <si>
    <t xml:space="preserve">      6815 2012 USDA Bond Interest</t>
  </si>
  <si>
    <t xml:space="preserve">      6816 2013 MMBB Refinance Bond Principal</t>
  </si>
  <si>
    <t xml:space="preserve">      6817 2013 MMBB Refinance Bond Interest</t>
  </si>
  <si>
    <t xml:space="preserve">      6818 2015 BHBT Bond Principal</t>
  </si>
  <si>
    <t xml:space="preserve">      6819 2015 BHBT Bond Interest</t>
  </si>
  <si>
    <t xml:space="preserve">      6820 2021B MMBB Bond Principal</t>
  </si>
  <si>
    <t xml:space="preserve">      6821 2021B MMBB Bond Interest</t>
  </si>
  <si>
    <t xml:space="preserve">   Total 6800 Bond Expenses</t>
  </si>
  <si>
    <t>Total Expenditures</t>
  </si>
  <si>
    <t>Net Operating Revenue</t>
  </si>
  <si>
    <t>Other Expenditures</t>
  </si>
  <si>
    <t xml:space="preserve">   6600 Interest expense</t>
  </si>
  <si>
    <t xml:space="preserve">   7100 Contingency Expenses</t>
  </si>
  <si>
    <t xml:space="preserve">   Reconciliation Discrepancies</t>
  </si>
  <si>
    <t>Total Other Expenditures</t>
  </si>
  <si>
    <t>Net Other Revenue</t>
  </si>
  <si>
    <t>Net Revenue</t>
  </si>
  <si>
    <t>Wednesday, Dec 13, 2023 08:40:47 AM GMT-8 - Accrual Basis</t>
  </si>
  <si>
    <t>Northport Village Corporation</t>
  </si>
  <si>
    <t>Budget vs. Actuals: 2023 Budget - FY23 P&amp;L  Classes</t>
  </si>
  <si>
    <t>January - December 2023</t>
  </si>
  <si>
    <t>2024 Sewer Department Final Draft</t>
  </si>
  <si>
    <t>2024 Water Department Final Draft</t>
  </si>
  <si>
    <t xml:space="preserve">   Total 4500 Sewer Operating Revenue</t>
  </si>
  <si>
    <t xml:space="preserve"> </t>
  </si>
  <si>
    <t xml:space="preserve">     6021 Mowing &amp; Trimming Service</t>
  </si>
  <si>
    <t xml:space="preserve"> 6047 Water Utility Superintendent</t>
  </si>
  <si>
    <t>6046 Sewer Utility Superintendent</t>
  </si>
  <si>
    <t>4600 Sewer Non-Operating Revenue</t>
  </si>
  <si>
    <t xml:space="preserve">    6055 Auto Repairs &amp; Maintenance</t>
  </si>
  <si>
    <t xml:space="preserve">  6059 Accrue for Truck Replacement</t>
  </si>
  <si>
    <t xml:space="preserve"> Total 6190 Legal &amp; Professional Serv</t>
  </si>
  <si>
    <t>6210 Licenses, Permits and Fees</t>
  </si>
  <si>
    <t xml:space="preserve"> Total 6210 Licenses, Permits &amp; Fees</t>
  </si>
  <si>
    <t xml:space="preserve">6200 Office </t>
  </si>
  <si>
    <t>Total 6200 Office</t>
  </si>
  <si>
    <t>6350 Supplies and Chemicals</t>
  </si>
  <si>
    <t>6345 Office Software</t>
  </si>
  <si>
    <t>6500 Water Testing</t>
  </si>
  <si>
    <t xml:space="preserve">   Total 6500 Water Testing</t>
  </si>
  <si>
    <t>Total 6045 Utilities Superintendent</t>
  </si>
  <si>
    <t>3560 Sewer Reserve Fund</t>
  </si>
  <si>
    <t>Net Revenue or Deficit</t>
  </si>
  <si>
    <t>Assistant CSO</t>
  </si>
  <si>
    <t xml:space="preserve">   4832 Miscellaneous Revenue (W)</t>
  </si>
  <si>
    <t xml:space="preserve">    4820 Water Service Fee Revenue</t>
  </si>
  <si>
    <t>Total 4820 Water Serv Fee Revenue</t>
  </si>
  <si>
    <t xml:space="preserve">   4840 Hydrant Rental Revenue</t>
  </si>
  <si>
    <t xml:space="preserve"> Total 4800 Water Operating Revenue</t>
  </si>
  <si>
    <t>Total 6080 Employee Salaries &amp; Wages</t>
  </si>
  <si>
    <t xml:space="preserve">      Total 6070 Employee Benefits</t>
  </si>
  <si>
    <t>Total 6190 Legal &amp; Professional Serv</t>
  </si>
  <si>
    <t xml:space="preserve"> 6342 General Repairs &amp; Maintenance</t>
  </si>
  <si>
    <t>6406 Telephone &amp; Internet Expense</t>
  </si>
  <si>
    <t>Total 6500 Water Testing</t>
  </si>
  <si>
    <t xml:space="preserve"> 6082 Distribution Officer Wages</t>
  </si>
  <si>
    <t>6081 Collection System Oper Wages</t>
  </si>
  <si>
    <t xml:space="preserve"> 6080 Employee Salaries &amp; Wages</t>
  </si>
  <si>
    <t>2510 New Installations</t>
  </si>
  <si>
    <t xml:space="preserve">                          as of</t>
  </si>
  <si>
    <t xml:space="preserve">                 As of</t>
  </si>
  <si>
    <t>4120 Rate Increase</t>
  </si>
  <si>
    <t xml:space="preserve">               4830 Bank Interest (W)</t>
  </si>
  <si>
    <t xml:space="preserve">            4510 Interest Income (W)</t>
  </si>
  <si>
    <t>3500 Reserve</t>
  </si>
  <si>
    <t>Total 3500 Reserve</t>
  </si>
  <si>
    <t>3530 Reserve Funds Operational Exp</t>
  </si>
  <si>
    <t>3510 Loan to sewer repayment</t>
  </si>
  <si>
    <t xml:space="preserve">3520 Loan to sewer Interest </t>
  </si>
  <si>
    <t xml:space="preserve">Comments </t>
  </si>
  <si>
    <t>Total 1099 Contractors</t>
  </si>
  <si>
    <t>Total 6330 Repairs &amp; Maintenance</t>
  </si>
  <si>
    <t xml:space="preserve">        Loan Payment to Water Principal</t>
  </si>
  <si>
    <t xml:space="preserve">        Loan Payment to Water Interest</t>
  </si>
  <si>
    <t>$34,000 with $29,000 from Rserve, so $5,000 for 2024</t>
  </si>
  <si>
    <t xml:space="preserve">    Grants</t>
  </si>
  <si>
    <t xml:space="preserve">         6192 Engineering Fees</t>
  </si>
  <si>
    <t>Expected grants</t>
  </si>
  <si>
    <t>Engineering fees associated with grants</t>
  </si>
  <si>
    <t xml:space="preserve">             Interest from loan to sewer</t>
  </si>
  <si>
    <t>Comment</t>
  </si>
  <si>
    <t>Interest from loan to sewer</t>
  </si>
  <si>
    <t xml:space="preserve">     Total 1099 Contractors</t>
  </si>
  <si>
    <t xml:space="preserve">         Assistant DO</t>
  </si>
  <si>
    <t xml:space="preserve"> Total Employee Wages and Benefits</t>
  </si>
  <si>
    <t>Total 6330 Repairs and Maintenance</t>
  </si>
  <si>
    <t>6200 Office</t>
  </si>
  <si>
    <t xml:space="preserve"> Total 6200 Office</t>
  </si>
  <si>
    <t xml:space="preserve">  Reserve Accrual: Loan from Sewer Interest</t>
  </si>
  <si>
    <t>Note: Reserve information for 2024</t>
  </si>
  <si>
    <t>Principal returned to Water</t>
  </si>
  <si>
    <t>Interest on loan, revenue and then accrued to the reserve</t>
  </si>
  <si>
    <t>% increase</t>
  </si>
  <si>
    <t>$8000 with $3000 coming from reserves</t>
  </si>
  <si>
    <t>% change</t>
  </si>
  <si>
    <t>Missing; 2023 listed as due to General ($15K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</si>
</sst>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44" fontId="0" fillId="0" borderId="0" xfId="1" applyFont="1"/>
    <xf numFmtId="164" fontId="7" fillId="0" borderId="0" xfId="0" applyNumberFormat="1" applyFont="1" applyAlignment="1">
      <alignment wrapText="1"/>
    </xf>
    <xf numFmtId="44" fontId="7" fillId="0" borderId="0" xfId="1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44" fontId="7" fillId="0" borderId="0" xfId="1" applyFont="1" applyAlignment="1">
      <alignment horizontal="right" wrapText="1"/>
    </xf>
    <xf numFmtId="165" fontId="8" fillId="0" borderId="2" xfId="0" applyNumberFormat="1" applyFont="1" applyBorder="1" applyAlignment="1">
      <alignment horizontal="right" wrapText="1"/>
    </xf>
    <xf numFmtId="44" fontId="8" fillId="0" borderId="2" xfId="1" applyFont="1" applyBorder="1" applyAlignment="1">
      <alignment horizontal="right"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right" wrapText="1"/>
    </xf>
    <xf numFmtId="44" fontId="10" fillId="0" borderId="0" xfId="1" applyFont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44" fontId="9" fillId="0" borderId="2" xfId="1" applyFont="1" applyBorder="1" applyAlignment="1">
      <alignment horizontal="right" wrapText="1"/>
    </xf>
    <xf numFmtId="165" fontId="9" fillId="2" borderId="2" xfId="0" applyNumberFormat="1" applyFont="1" applyFill="1" applyBorder="1" applyAlignment="1">
      <alignment horizontal="right" wrapText="1"/>
    </xf>
    <xf numFmtId="44" fontId="9" fillId="2" borderId="2" xfId="1" applyFont="1" applyFill="1" applyBorder="1" applyAlignment="1">
      <alignment horizontal="right" wrapText="1"/>
    </xf>
    <xf numFmtId="44" fontId="10" fillId="0" borderId="0" xfId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 wrapText="1"/>
    </xf>
    <xf numFmtId="164" fontId="9" fillId="2" borderId="0" xfId="0" applyNumberFormat="1" applyFont="1" applyFill="1" applyAlignment="1">
      <alignment horizontal="right" wrapText="1"/>
    </xf>
    <xf numFmtId="44" fontId="9" fillId="2" borderId="0" xfId="1" applyFont="1" applyFill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44" fontId="10" fillId="0" borderId="1" xfId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44" fontId="9" fillId="0" borderId="0" xfId="1" applyFont="1" applyFill="1" applyAlignment="1">
      <alignment horizontal="right" wrapText="1"/>
    </xf>
    <xf numFmtId="165" fontId="9" fillId="2" borderId="3" xfId="0" applyNumberFormat="1" applyFont="1" applyFill="1" applyBorder="1" applyAlignment="1">
      <alignment horizontal="right" wrapText="1"/>
    </xf>
    <xf numFmtId="44" fontId="3" fillId="0" borderId="0" xfId="1" applyFont="1" applyAlignment="1">
      <alignment wrapText="1"/>
    </xf>
    <xf numFmtId="44" fontId="10" fillId="2" borderId="1" xfId="1" applyFont="1" applyFill="1" applyBorder="1" applyAlignment="1">
      <alignment horizontal="right" wrapText="1"/>
    </xf>
    <xf numFmtId="44" fontId="10" fillId="0" borderId="0" xfId="1" applyFont="1" applyBorder="1" applyAlignment="1">
      <alignment horizontal="right" wrapText="1"/>
    </xf>
    <xf numFmtId="44" fontId="10" fillId="0" borderId="0" xfId="1" applyFont="1" applyBorder="1" applyAlignment="1">
      <alignment wrapText="1"/>
    </xf>
    <xf numFmtId="44" fontId="9" fillId="0" borderId="3" xfId="1" applyFont="1" applyBorder="1" applyAlignment="1">
      <alignment horizontal="right" wrapText="1"/>
    </xf>
    <xf numFmtId="0" fontId="10" fillId="0" borderId="0" xfId="0" applyFont="1"/>
    <xf numFmtId="44" fontId="10" fillId="0" borderId="0" xfId="1" applyFont="1"/>
    <xf numFmtId="0" fontId="10" fillId="0" borderId="0" xfId="0" applyFont="1" applyAlignment="1">
      <alignment wrapText="1"/>
    </xf>
    <xf numFmtId="44" fontId="9" fillId="2" borderId="0" xfId="1" applyFont="1" applyFill="1"/>
    <xf numFmtId="44" fontId="10" fillId="2" borderId="1" xfId="1" applyFont="1" applyFill="1" applyBorder="1"/>
    <xf numFmtId="44" fontId="10" fillId="2" borderId="0" xfId="1" applyFont="1" applyFill="1"/>
    <xf numFmtId="44" fontId="10" fillId="0" borderId="1" xfId="1" applyFont="1" applyBorder="1"/>
    <xf numFmtId="44" fontId="10" fillId="0" borderId="0" xfId="1" applyFont="1" applyBorder="1"/>
    <xf numFmtId="44" fontId="9" fillId="0" borderId="0" xfId="1" applyFont="1"/>
    <xf numFmtId="44" fontId="10" fillId="0" borderId="4" xfId="1" applyFont="1" applyBorder="1"/>
    <xf numFmtId="0" fontId="9" fillId="0" borderId="1" xfId="0" applyFont="1" applyBorder="1" applyAlignment="1">
      <alignment horizontal="center" wrapText="1"/>
    </xf>
    <xf numFmtId="0" fontId="9" fillId="0" borderId="1" xfId="1" applyNumberFormat="1" applyFont="1" applyBorder="1" applyAlignment="1">
      <alignment horizontal="center" wrapText="1"/>
    </xf>
    <xf numFmtId="9" fontId="0" fillId="0" borderId="0" xfId="0" applyNumberFormat="1"/>
    <xf numFmtId="44" fontId="9" fillId="0" borderId="1" xfId="1" applyFont="1" applyBorder="1"/>
    <xf numFmtId="14" fontId="10" fillId="0" borderId="0" xfId="1" applyNumberFormat="1" applyFont="1"/>
    <xf numFmtId="44" fontId="10" fillId="0" borderId="0" xfId="1" applyFont="1" applyFill="1" applyAlignment="1">
      <alignment horizontal="right" wrapText="1"/>
    </xf>
    <xf numFmtId="44" fontId="10" fillId="0" borderId="0" xfId="1" applyFont="1" applyFill="1" applyAlignment="1">
      <alignment wrapText="1"/>
    </xf>
    <xf numFmtId="44" fontId="10" fillId="0" borderId="0" xfId="1" applyFont="1" applyFill="1"/>
    <xf numFmtId="44" fontId="10" fillId="0" borderId="1" xfId="1" applyFont="1" applyFill="1" applyBorder="1"/>
    <xf numFmtId="44" fontId="9" fillId="0" borderId="2" xfId="1" applyFont="1" applyFill="1" applyBorder="1" applyAlignment="1">
      <alignment horizontal="right" wrapText="1"/>
    </xf>
    <xf numFmtId="0" fontId="9" fillId="3" borderId="0" xfId="0" applyFont="1" applyFill="1" applyAlignment="1">
      <alignment horizontal="left" wrapText="1"/>
    </xf>
    <xf numFmtId="44" fontId="10" fillId="3" borderId="0" xfId="1" applyFont="1" applyFill="1" applyAlignment="1">
      <alignment wrapText="1"/>
    </xf>
    <xf numFmtId="44" fontId="10" fillId="3" borderId="0" xfId="1" applyFont="1" applyFill="1" applyBorder="1"/>
    <xf numFmtId="165" fontId="9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9" fillId="0" borderId="3" xfId="0" applyNumberFormat="1" applyFont="1" applyBorder="1" applyAlignment="1">
      <alignment horizontal="right" wrapText="1"/>
    </xf>
    <xf numFmtId="44" fontId="9" fillId="0" borderId="0" xfId="1" applyFont="1" applyBorder="1"/>
    <xf numFmtId="44" fontId="9" fillId="0" borderId="4" xfId="1" applyFont="1" applyBorder="1"/>
    <xf numFmtId="44" fontId="9" fillId="0" borderId="0" xfId="1" applyFont="1" applyFill="1"/>
    <xf numFmtId="0" fontId="9" fillId="0" borderId="0" xfId="0" applyFont="1" applyAlignment="1">
      <alignment horizontal="center" wrapText="1"/>
    </xf>
    <xf numFmtId="9" fontId="10" fillId="0" borderId="0" xfId="0" applyNumberFormat="1" applyFont="1"/>
    <xf numFmtId="44" fontId="10" fillId="0" borderId="0" xfId="1" applyFont="1" applyAlignment="1">
      <alignment horizontal="left"/>
    </xf>
    <xf numFmtId="165" fontId="9" fillId="0" borderId="4" xfId="0" applyNumberFormat="1" applyFont="1" applyBorder="1" applyAlignment="1">
      <alignment horizontal="right" wrapText="1"/>
    </xf>
    <xf numFmtId="44" fontId="9" fillId="0" borderId="4" xfId="1" applyFont="1" applyBorder="1" applyAlignment="1">
      <alignment horizontal="right" wrapText="1"/>
    </xf>
    <xf numFmtId="164" fontId="9" fillId="0" borderId="2" xfId="0" applyNumberFormat="1" applyFont="1" applyBorder="1" applyAlignment="1">
      <alignment horizontal="right" wrapText="1"/>
    </xf>
    <xf numFmtId="164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44" fontId="10" fillId="2" borderId="0" xfId="1" applyFont="1" applyFill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164" fontId="9" fillId="2" borderId="0" xfId="0" applyNumberFormat="1" applyFont="1" applyFill="1" applyAlignment="1">
      <alignment wrapText="1"/>
    </xf>
    <xf numFmtId="44" fontId="10" fillId="0" borderId="0" xfId="0" applyNumberFormat="1" applyFont="1"/>
    <xf numFmtId="0" fontId="9" fillId="2" borderId="3" xfId="0" applyFont="1" applyFill="1" applyBorder="1" applyAlignment="1">
      <alignment horizontal="left" wrapText="1"/>
    </xf>
    <xf numFmtId="44" fontId="10" fillId="2" borderId="3" xfId="1" applyFont="1" applyFill="1" applyBorder="1"/>
    <xf numFmtId="44" fontId="10" fillId="0" borderId="4" xfId="1" applyFont="1" applyFill="1" applyBorder="1"/>
    <xf numFmtId="0" fontId="10" fillId="0" borderId="0" xfId="0" applyFont="1" applyAlignment="1">
      <alignment horizontal="left" wrapText="1"/>
    </xf>
    <xf numFmtId="44" fontId="10" fillId="0" borderId="2" xfId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wrapText="1"/>
    </xf>
    <xf numFmtId="44" fontId="9" fillId="2" borderId="3" xfId="1" applyFont="1" applyFill="1" applyBorder="1"/>
    <xf numFmtId="44" fontId="10" fillId="0" borderId="3" xfId="1" applyFont="1" applyFill="1" applyBorder="1"/>
    <xf numFmtId="44" fontId="9" fillId="2" borderId="0" xfId="1" applyFont="1" applyFill="1" applyBorder="1"/>
    <xf numFmtId="0" fontId="9" fillId="0" borderId="3" xfId="0" applyFont="1" applyBorder="1" applyAlignment="1">
      <alignment horizontal="left" wrapText="1"/>
    </xf>
    <xf numFmtId="44" fontId="9" fillId="0" borderId="3" xfId="1" applyFont="1" applyFill="1" applyBorder="1"/>
    <xf numFmtId="44" fontId="10" fillId="0" borderId="3" xfId="1" applyFont="1" applyBorder="1"/>
    <xf numFmtId="44" fontId="9" fillId="0" borderId="0" xfId="1" applyFont="1" applyBorder="1" applyAlignment="1">
      <alignment horizontal="right" wrapText="1"/>
    </xf>
    <xf numFmtId="44" fontId="10" fillId="2" borderId="0" xfId="1" applyFont="1" applyFill="1" applyBorder="1" applyAlignment="1">
      <alignment horizontal="right" wrapText="1"/>
    </xf>
    <xf numFmtId="44" fontId="10" fillId="2" borderId="0" xfId="1" applyFont="1" applyFill="1" applyBorder="1"/>
    <xf numFmtId="44" fontId="10" fillId="2" borderId="0" xfId="1" applyFont="1" applyFill="1" applyAlignment="1">
      <alignment wrapText="1"/>
    </xf>
    <xf numFmtId="44" fontId="9" fillId="2" borderId="3" xfId="1" applyFont="1" applyFill="1" applyBorder="1" applyAlignment="1">
      <alignment horizontal="right" wrapText="1"/>
    </xf>
    <xf numFmtId="0" fontId="13" fillId="0" borderId="0" xfId="0" applyFont="1"/>
    <xf numFmtId="9" fontId="0" fillId="0" borderId="0" xfId="2" applyFon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1"/>
  <sheetViews>
    <sheetView topLeftCell="A84" zoomScale="101" workbookViewId="0">
      <selection activeCell="AI178" sqref="AI178"/>
    </sheetView>
  </sheetViews>
  <sheetFormatPr baseColWidth="10" defaultColWidth="8.83203125" defaultRowHeight="15" x14ac:dyDescent="0.2"/>
  <cols>
    <col min="1" max="1" width="28.5" customWidth="1"/>
    <col min="2" max="2" width="12" hidden="1" customWidth="1"/>
    <col min="3" max="3" width="11.1640625" hidden="1" customWidth="1"/>
    <col min="4" max="4" width="12" hidden="1" customWidth="1"/>
    <col min="5" max="5" width="11.1640625" hidden="1" customWidth="1"/>
    <col min="6" max="6" width="10.33203125" hidden="1" customWidth="1"/>
    <col min="7" max="7" width="7.6640625" hidden="1" customWidth="1"/>
    <col min="8" max="8" width="10.33203125" hidden="1" customWidth="1"/>
    <col min="9" max="9" width="7.6640625" hidden="1" customWidth="1"/>
    <col min="10" max="11" width="11.1640625" customWidth="1"/>
    <col min="12" max="12" width="12" hidden="1" customWidth="1"/>
    <col min="13" max="13" width="10.33203125" customWidth="1"/>
    <col min="14" max="14" width="11.1640625" hidden="1" customWidth="1"/>
    <col min="15" max="15" width="10.33203125" hidden="1" customWidth="1"/>
    <col min="16" max="16" width="12" hidden="1" customWidth="1"/>
    <col min="17" max="17" width="8.6640625" hidden="1" customWidth="1"/>
    <col min="18" max="18" width="9.5" hidden="1" customWidth="1"/>
    <col min="19" max="19" width="7.6640625" hidden="1" customWidth="1"/>
    <col min="20" max="20" width="9.5" hidden="1" customWidth="1"/>
    <col min="21" max="21" width="7.6640625" hidden="1" customWidth="1"/>
    <col min="22" max="22" width="11.1640625" customWidth="1"/>
    <col min="23" max="23" width="10.33203125" customWidth="1"/>
    <col min="24" max="24" width="12" hidden="1" customWidth="1"/>
    <col min="25" max="25" width="8.6640625" customWidth="1"/>
    <col min="26" max="26" width="11.1640625" hidden="1" customWidth="1"/>
    <col min="27" max="27" width="10.33203125" hidden="1" customWidth="1"/>
    <col min="28" max="28" width="12" hidden="1" customWidth="1"/>
    <col min="29" max="29" width="10.33203125" hidden="1" customWidth="1"/>
    <col min="30" max="30" width="9.5" hidden="1" customWidth="1"/>
    <col min="31" max="31" width="7.6640625" hidden="1" customWidth="1"/>
    <col min="32" max="32" width="9.5" hidden="1" customWidth="1"/>
    <col min="33" max="33" width="7.6640625" hidden="1" customWidth="1"/>
    <col min="34" max="34" width="11.1640625" customWidth="1"/>
    <col min="35" max="35" width="10.33203125" customWidth="1"/>
    <col min="36" max="36" width="11.1640625" hidden="1" customWidth="1"/>
    <col min="37" max="37" width="10.33203125" hidden="1" customWidth="1"/>
    <col min="38" max="38" width="9.5" hidden="1" customWidth="1"/>
    <col min="39" max="39" width="7.6640625" hidden="1" customWidth="1"/>
    <col min="40" max="40" width="9.5" hidden="1" customWidth="1"/>
    <col min="41" max="41" width="7.6640625" hidden="1" customWidth="1"/>
    <col min="42" max="43" width="11.1640625" customWidth="1"/>
    <col min="44" max="44" width="12" hidden="1" customWidth="1"/>
    <col min="45" max="45" width="8.6640625" customWidth="1"/>
  </cols>
  <sheetData>
    <row r="1" spans="1:45" ht="18" x14ac:dyDescent="0.2">
      <c r="A1" s="106" t="s">
        <v>197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18" x14ac:dyDescent="0.2">
      <c r="A2" s="106" t="s">
        <v>198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</row>
    <row r="3" spans="1:45" x14ac:dyDescent="0.2">
      <c r="A3" s="107" t="s">
        <v>199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</row>
    <row r="5" spans="1:45" x14ac:dyDescent="0.2">
      <c r="A5" s="1"/>
      <c r="B5" s="102" t="s">
        <v>0</v>
      </c>
      <c r="C5" s="103"/>
      <c r="D5" s="103"/>
      <c r="E5" s="103"/>
      <c r="F5" s="102" t="s">
        <v>1</v>
      </c>
      <c r="G5" s="103"/>
      <c r="H5" s="103"/>
      <c r="I5" s="103"/>
      <c r="J5" s="102" t="s">
        <v>2</v>
      </c>
      <c r="K5" s="103"/>
      <c r="L5" s="103"/>
      <c r="M5" s="103"/>
      <c r="N5" s="102" t="s">
        <v>3</v>
      </c>
      <c r="O5" s="103"/>
      <c r="P5" s="103"/>
      <c r="Q5" s="103"/>
      <c r="R5" s="102" t="s">
        <v>4</v>
      </c>
      <c r="S5" s="103"/>
      <c r="T5" s="103"/>
      <c r="U5" s="103"/>
      <c r="V5" s="102" t="s">
        <v>5</v>
      </c>
      <c r="W5" s="103"/>
      <c r="X5" s="103"/>
      <c r="Y5" s="103"/>
      <c r="Z5" s="102" t="s">
        <v>6</v>
      </c>
      <c r="AA5" s="103"/>
      <c r="AB5" s="103"/>
      <c r="AC5" s="103"/>
      <c r="AD5" s="102" t="s">
        <v>7</v>
      </c>
      <c r="AE5" s="103"/>
      <c r="AF5" s="103"/>
      <c r="AG5" s="103"/>
      <c r="AH5" s="102" t="s">
        <v>8</v>
      </c>
      <c r="AI5" s="103"/>
      <c r="AJ5" s="103"/>
      <c r="AK5" s="103"/>
      <c r="AL5" s="102" t="s">
        <v>9</v>
      </c>
      <c r="AM5" s="103"/>
      <c r="AN5" s="103"/>
      <c r="AO5" s="103"/>
      <c r="AP5" s="102" t="s">
        <v>10</v>
      </c>
      <c r="AQ5" s="103"/>
      <c r="AR5" s="103"/>
      <c r="AS5" s="103"/>
    </row>
    <row r="6" spans="1:45" ht="27" x14ac:dyDescent="0.2">
      <c r="A6" s="1"/>
      <c r="B6" s="2" t="s">
        <v>11</v>
      </c>
      <c r="C6" s="2" t="s">
        <v>12</v>
      </c>
      <c r="D6" s="2" t="s">
        <v>13</v>
      </c>
      <c r="E6" s="2" t="s">
        <v>14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11</v>
      </c>
      <c r="O6" s="2" t="s">
        <v>12</v>
      </c>
      <c r="P6" s="2" t="s">
        <v>13</v>
      </c>
      <c r="Q6" s="2" t="s">
        <v>14</v>
      </c>
      <c r="R6" s="2" t="s">
        <v>11</v>
      </c>
      <c r="S6" s="2" t="s">
        <v>12</v>
      </c>
      <c r="T6" s="2" t="s">
        <v>13</v>
      </c>
      <c r="U6" s="2" t="s">
        <v>14</v>
      </c>
      <c r="V6" s="2" t="s">
        <v>11</v>
      </c>
      <c r="W6" s="2" t="s">
        <v>12</v>
      </c>
      <c r="X6" s="2" t="s">
        <v>13</v>
      </c>
      <c r="Y6" s="2" t="s">
        <v>14</v>
      </c>
      <c r="Z6" s="2" t="s">
        <v>11</v>
      </c>
      <c r="AA6" s="2" t="s">
        <v>12</v>
      </c>
      <c r="AB6" s="2" t="s">
        <v>13</v>
      </c>
      <c r="AC6" s="2" t="s">
        <v>14</v>
      </c>
      <c r="AD6" s="2" t="s">
        <v>11</v>
      </c>
      <c r="AE6" s="2" t="s">
        <v>12</v>
      </c>
      <c r="AF6" s="2" t="s">
        <v>13</v>
      </c>
      <c r="AG6" s="2" t="s">
        <v>14</v>
      </c>
      <c r="AH6" s="2" t="s">
        <v>11</v>
      </c>
      <c r="AI6" s="2" t="s">
        <v>12</v>
      </c>
      <c r="AJ6" s="2" t="s">
        <v>13</v>
      </c>
      <c r="AK6" s="2" t="s">
        <v>14</v>
      </c>
      <c r="AL6" s="2" t="s">
        <v>11</v>
      </c>
      <c r="AM6" s="2" t="s">
        <v>12</v>
      </c>
      <c r="AN6" s="2" t="s">
        <v>13</v>
      </c>
      <c r="AO6" s="2" t="s">
        <v>14</v>
      </c>
      <c r="AP6" s="2" t="s">
        <v>11</v>
      </c>
      <c r="AQ6" s="2" t="s">
        <v>12</v>
      </c>
      <c r="AR6" s="2" t="s">
        <v>13</v>
      </c>
      <c r="AS6" s="2" t="s">
        <v>14</v>
      </c>
    </row>
    <row r="7" spans="1:45" x14ac:dyDescent="0.2">
      <c r="A7" s="3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x14ac:dyDescent="0.2">
      <c r="A8" s="3" t="s">
        <v>16</v>
      </c>
      <c r="B8" s="4"/>
      <c r="C8" s="4"/>
      <c r="D8" s="5">
        <f t="shared" ref="D8:D51" si="0">(B8)-(C8)</f>
        <v>0</v>
      </c>
      <c r="E8" s="6" t="str">
        <f t="shared" ref="E8:E51" si="1">IF(C8=0,"",(B8)/(C8))</f>
        <v/>
      </c>
      <c r="F8" s="4"/>
      <c r="G8" s="4"/>
      <c r="H8" s="5">
        <f t="shared" ref="H8:H51" si="2">(F8)-(G8)</f>
        <v>0</v>
      </c>
      <c r="I8" s="6" t="str">
        <f t="shared" ref="I8:I51" si="3">IF(G8=0,"",(F8)/(G8))</f>
        <v/>
      </c>
      <c r="J8" s="5">
        <f t="shared" ref="J8:J51" si="4">(B8)+(F8)</f>
        <v>0</v>
      </c>
      <c r="K8" s="5">
        <f t="shared" ref="K8:K51" si="5">(C8)+(G8)</f>
        <v>0</v>
      </c>
      <c r="L8" s="5">
        <f t="shared" ref="L8:L51" si="6">(J8)-(K8)</f>
        <v>0</v>
      </c>
      <c r="M8" s="6" t="str">
        <f t="shared" ref="M8:M51" si="7">IF(K8=0,"",(J8)/(K8))</f>
        <v/>
      </c>
      <c r="N8" s="4"/>
      <c r="O8" s="4"/>
      <c r="P8" s="5">
        <f t="shared" ref="P8:P51" si="8">(N8)-(O8)</f>
        <v>0</v>
      </c>
      <c r="Q8" s="6" t="str">
        <f t="shared" ref="Q8:Q51" si="9">IF(O8=0,"",(N8)/(O8))</f>
        <v/>
      </c>
      <c r="R8" s="4"/>
      <c r="S8" s="4"/>
      <c r="T8" s="5">
        <f t="shared" ref="T8:T51" si="10">(R8)-(S8)</f>
        <v>0</v>
      </c>
      <c r="U8" s="6" t="str">
        <f t="shared" ref="U8:U51" si="11">IF(S8=0,"",(R8)/(S8))</f>
        <v/>
      </c>
      <c r="V8" s="5">
        <f t="shared" ref="V8:V51" si="12">(N8)+(R8)</f>
        <v>0</v>
      </c>
      <c r="W8" s="5">
        <f t="shared" ref="W8:W51" si="13">(O8)+(S8)</f>
        <v>0</v>
      </c>
      <c r="X8" s="5">
        <f t="shared" ref="X8:X51" si="14">(V8)-(W8)</f>
        <v>0</v>
      </c>
      <c r="Y8" s="6" t="str">
        <f t="shared" ref="Y8:Y51" si="15">IF(W8=0,"",(V8)/(W8))</f>
        <v/>
      </c>
      <c r="Z8" s="4"/>
      <c r="AA8" s="4"/>
      <c r="AB8" s="5">
        <f t="shared" ref="AB8:AB51" si="16">(Z8)-(AA8)</f>
        <v>0</v>
      </c>
      <c r="AC8" s="6" t="str">
        <f t="shared" ref="AC8:AC51" si="17">IF(AA8=0,"",(Z8)/(AA8))</f>
        <v/>
      </c>
      <c r="AD8" s="4"/>
      <c r="AE8" s="4"/>
      <c r="AF8" s="5">
        <f t="shared" ref="AF8:AF51" si="18">(AD8)-(AE8)</f>
        <v>0</v>
      </c>
      <c r="AG8" s="6" t="str">
        <f t="shared" ref="AG8:AG51" si="19">IF(AE8=0,"",(AD8)/(AE8))</f>
        <v/>
      </c>
      <c r="AH8" s="5">
        <f t="shared" ref="AH8:AH51" si="20">(Z8)+(AD8)</f>
        <v>0</v>
      </c>
      <c r="AI8" s="5">
        <f t="shared" ref="AI8:AI51" si="21">(AA8)+(AE8)</f>
        <v>0</v>
      </c>
      <c r="AJ8" s="5">
        <f t="shared" ref="AJ8:AJ51" si="22">(AH8)-(AI8)</f>
        <v>0</v>
      </c>
      <c r="AK8" s="6" t="str">
        <f t="shared" ref="AK8:AK51" si="23">IF(AI8=0,"",(AH8)/(AI8))</f>
        <v/>
      </c>
      <c r="AL8" s="4"/>
      <c r="AM8" s="4"/>
      <c r="AN8" s="5">
        <f t="shared" ref="AN8:AN51" si="24">(AL8)-(AM8)</f>
        <v>0</v>
      </c>
      <c r="AO8" s="6" t="str">
        <f t="shared" ref="AO8:AO51" si="25">IF(AM8=0,"",(AL8)/(AM8))</f>
        <v/>
      </c>
      <c r="AP8" s="5">
        <f t="shared" ref="AP8:AP51" si="26">(((J8)+(V8))+(AH8))+(AL8)</f>
        <v>0</v>
      </c>
      <c r="AQ8" s="5">
        <f t="shared" ref="AQ8:AQ51" si="27">(((K8)+(W8))+(AI8))+(AM8)</f>
        <v>0</v>
      </c>
      <c r="AR8" s="5">
        <f t="shared" ref="AR8:AR51" si="28">(AP8)-(AQ8)</f>
        <v>0</v>
      </c>
      <c r="AS8" s="6" t="str">
        <f t="shared" ref="AS8:AS51" si="29">IF(AQ8=0,"",(AP8)/(AQ8))</f>
        <v/>
      </c>
    </row>
    <row r="9" spans="1:45" x14ac:dyDescent="0.2">
      <c r="A9" s="3" t="s">
        <v>17</v>
      </c>
      <c r="B9" s="5">
        <f>3.2</f>
        <v>3.2</v>
      </c>
      <c r="C9" s="4"/>
      <c r="D9" s="5">
        <f t="shared" si="0"/>
        <v>3.2</v>
      </c>
      <c r="E9" s="6" t="str">
        <f t="shared" si="1"/>
        <v/>
      </c>
      <c r="F9" s="4"/>
      <c r="G9" s="4"/>
      <c r="H9" s="5">
        <f t="shared" si="2"/>
        <v>0</v>
      </c>
      <c r="I9" s="6" t="str">
        <f t="shared" si="3"/>
        <v/>
      </c>
      <c r="J9" s="5">
        <f t="shared" si="4"/>
        <v>3.2</v>
      </c>
      <c r="K9" s="5">
        <f t="shared" si="5"/>
        <v>0</v>
      </c>
      <c r="L9" s="5">
        <f t="shared" si="6"/>
        <v>3.2</v>
      </c>
      <c r="M9" s="6" t="str">
        <f t="shared" si="7"/>
        <v/>
      </c>
      <c r="N9" s="4"/>
      <c r="O9" s="4"/>
      <c r="P9" s="5">
        <f t="shared" si="8"/>
        <v>0</v>
      </c>
      <c r="Q9" s="6" t="str">
        <f t="shared" si="9"/>
        <v/>
      </c>
      <c r="R9" s="4"/>
      <c r="S9" s="4"/>
      <c r="T9" s="5">
        <f t="shared" si="10"/>
        <v>0</v>
      </c>
      <c r="U9" s="6" t="str">
        <f t="shared" si="11"/>
        <v/>
      </c>
      <c r="V9" s="5">
        <f t="shared" si="12"/>
        <v>0</v>
      </c>
      <c r="W9" s="5">
        <f t="shared" si="13"/>
        <v>0</v>
      </c>
      <c r="X9" s="5">
        <f t="shared" si="14"/>
        <v>0</v>
      </c>
      <c r="Y9" s="6" t="str">
        <f t="shared" si="15"/>
        <v/>
      </c>
      <c r="Z9" s="4"/>
      <c r="AA9" s="4"/>
      <c r="AB9" s="5">
        <f t="shared" si="16"/>
        <v>0</v>
      </c>
      <c r="AC9" s="6" t="str">
        <f t="shared" si="17"/>
        <v/>
      </c>
      <c r="AD9" s="4"/>
      <c r="AE9" s="4"/>
      <c r="AF9" s="5">
        <f t="shared" si="18"/>
        <v>0</v>
      </c>
      <c r="AG9" s="6" t="str">
        <f t="shared" si="19"/>
        <v/>
      </c>
      <c r="AH9" s="5">
        <f t="shared" si="20"/>
        <v>0</v>
      </c>
      <c r="AI9" s="5">
        <f t="shared" si="21"/>
        <v>0</v>
      </c>
      <c r="AJ9" s="5">
        <f t="shared" si="22"/>
        <v>0</v>
      </c>
      <c r="AK9" s="6" t="str">
        <f t="shared" si="23"/>
        <v/>
      </c>
      <c r="AL9" s="4"/>
      <c r="AM9" s="4"/>
      <c r="AN9" s="5">
        <f t="shared" si="24"/>
        <v>0</v>
      </c>
      <c r="AO9" s="6" t="str">
        <f t="shared" si="25"/>
        <v/>
      </c>
      <c r="AP9" s="5">
        <f t="shared" si="26"/>
        <v>3.2</v>
      </c>
      <c r="AQ9" s="5">
        <f t="shared" si="27"/>
        <v>0</v>
      </c>
      <c r="AR9" s="5">
        <f t="shared" si="28"/>
        <v>3.2</v>
      </c>
      <c r="AS9" s="6" t="str">
        <f t="shared" si="29"/>
        <v/>
      </c>
    </row>
    <row r="10" spans="1:45" x14ac:dyDescent="0.2">
      <c r="A10" s="3" t="s">
        <v>18</v>
      </c>
      <c r="B10" s="4"/>
      <c r="C10" s="4"/>
      <c r="D10" s="5">
        <f t="shared" si="0"/>
        <v>0</v>
      </c>
      <c r="E10" s="6" t="str">
        <f t="shared" si="1"/>
        <v/>
      </c>
      <c r="F10" s="4"/>
      <c r="G10" s="4"/>
      <c r="H10" s="5">
        <f t="shared" si="2"/>
        <v>0</v>
      </c>
      <c r="I10" s="6" t="str">
        <f t="shared" si="3"/>
        <v/>
      </c>
      <c r="J10" s="5">
        <f t="shared" si="4"/>
        <v>0</v>
      </c>
      <c r="K10" s="5">
        <f t="shared" si="5"/>
        <v>0</v>
      </c>
      <c r="L10" s="5">
        <f t="shared" si="6"/>
        <v>0</v>
      </c>
      <c r="M10" s="6" t="str">
        <f t="shared" si="7"/>
        <v/>
      </c>
      <c r="N10" s="4"/>
      <c r="O10" s="4"/>
      <c r="P10" s="5">
        <f t="shared" si="8"/>
        <v>0</v>
      </c>
      <c r="Q10" s="6" t="str">
        <f t="shared" si="9"/>
        <v/>
      </c>
      <c r="R10" s="4"/>
      <c r="S10" s="4"/>
      <c r="T10" s="5">
        <f t="shared" si="10"/>
        <v>0</v>
      </c>
      <c r="U10" s="6" t="str">
        <f t="shared" si="11"/>
        <v/>
      </c>
      <c r="V10" s="5">
        <f t="shared" si="12"/>
        <v>0</v>
      </c>
      <c r="W10" s="5">
        <f t="shared" si="13"/>
        <v>0</v>
      </c>
      <c r="X10" s="5">
        <f t="shared" si="14"/>
        <v>0</v>
      </c>
      <c r="Y10" s="6" t="str">
        <f t="shared" si="15"/>
        <v/>
      </c>
      <c r="Z10" s="4"/>
      <c r="AA10" s="4"/>
      <c r="AB10" s="5">
        <f t="shared" si="16"/>
        <v>0</v>
      </c>
      <c r="AC10" s="6" t="str">
        <f t="shared" si="17"/>
        <v/>
      </c>
      <c r="AD10" s="4"/>
      <c r="AE10" s="4"/>
      <c r="AF10" s="5">
        <f t="shared" si="18"/>
        <v>0</v>
      </c>
      <c r="AG10" s="6" t="str">
        <f t="shared" si="19"/>
        <v/>
      </c>
      <c r="AH10" s="5">
        <f t="shared" si="20"/>
        <v>0</v>
      </c>
      <c r="AI10" s="5">
        <f t="shared" si="21"/>
        <v>0</v>
      </c>
      <c r="AJ10" s="5">
        <f t="shared" si="22"/>
        <v>0</v>
      </c>
      <c r="AK10" s="6" t="str">
        <f t="shared" si="23"/>
        <v/>
      </c>
      <c r="AL10" s="4"/>
      <c r="AM10" s="4"/>
      <c r="AN10" s="5">
        <f t="shared" si="24"/>
        <v>0</v>
      </c>
      <c r="AO10" s="6" t="str">
        <f t="shared" si="25"/>
        <v/>
      </c>
      <c r="AP10" s="5">
        <f t="shared" si="26"/>
        <v>0</v>
      </c>
      <c r="AQ10" s="5">
        <f t="shared" si="27"/>
        <v>0</v>
      </c>
      <c r="AR10" s="5">
        <f t="shared" si="28"/>
        <v>0</v>
      </c>
      <c r="AS10" s="6" t="str">
        <f t="shared" si="29"/>
        <v/>
      </c>
    </row>
    <row r="11" spans="1:45" x14ac:dyDescent="0.2">
      <c r="A11" s="3" t="s">
        <v>19</v>
      </c>
      <c r="B11" s="4"/>
      <c r="C11" s="4"/>
      <c r="D11" s="5">
        <f t="shared" si="0"/>
        <v>0</v>
      </c>
      <c r="E11" s="6" t="str">
        <f t="shared" si="1"/>
        <v/>
      </c>
      <c r="F11" s="4"/>
      <c r="G11" s="4"/>
      <c r="H11" s="5">
        <f t="shared" si="2"/>
        <v>0</v>
      </c>
      <c r="I11" s="6" t="str">
        <f t="shared" si="3"/>
        <v/>
      </c>
      <c r="J11" s="5">
        <f t="shared" si="4"/>
        <v>0</v>
      </c>
      <c r="K11" s="5">
        <f t="shared" si="5"/>
        <v>0</v>
      </c>
      <c r="L11" s="5">
        <f t="shared" si="6"/>
        <v>0</v>
      </c>
      <c r="M11" s="6" t="str">
        <f t="shared" si="7"/>
        <v/>
      </c>
      <c r="N11" s="4"/>
      <c r="O11" s="4"/>
      <c r="P11" s="5">
        <f t="shared" si="8"/>
        <v>0</v>
      </c>
      <c r="Q11" s="6" t="str">
        <f t="shared" si="9"/>
        <v/>
      </c>
      <c r="R11" s="4"/>
      <c r="S11" s="4"/>
      <c r="T11" s="5">
        <f t="shared" si="10"/>
        <v>0</v>
      </c>
      <c r="U11" s="6" t="str">
        <f t="shared" si="11"/>
        <v/>
      </c>
      <c r="V11" s="5">
        <f t="shared" si="12"/>
        <v>0</v>
      </c>
      <c r="W11" s="5">
        <f t="shared" si="13"/>
        <v>0</v>
      </c>
      <c r="X11" s="5">
        <f t="shared" si="14"/>
        <v>0</v>
      </c>
      <c r="Y11" s="6" t="str">
        <f t="shared" si="15"/>
        <v/>
      </c>
      <c r="Z11" s="4"/>
      <c r="AA11" s="4"/>
      <c r="AB11" s="5">
        <f t="shared" si="16"/>
        <v>0</v>
      </c>
      <c r="AC11" s="6" t="str">
        <f t="shared" si="17"/>
        <v/>
      </c>
      <c r="AD11" s="4"/>
      <c r="AE11" s="4"/>
      <c r="AF11" s="5">
        <f t="shared" si="18"/>
        <v>0</v>
      </c>
      <c r="AG11" s="6" t="str">
        <f t="shared" si="19"/>
        <v/>
      </c>
      <c r="AH11" s="5">
        <f t="shared" si="20"/>
        <v>0</v>
      </c>
      <c r="AI11" s="5">
        <f t="shared" si="21"/>
        <v>0</v>
      </c>
      <c r="AJ11" s="5">
        <f t="shared" si="22"/>
        <v>0</v>
      </c>
      <c r="AK11" s="6" t="str">
        <f t="shared" si="23"/>
        <v/>
      </c>
      <c r="AL11" s="4"/>
      <c r="AM11" s="4"/>
      <c r="AN11" s="5">
        <f t="shared" si="24"/>
        <v>0</v>
      </c>
      <c r="AO11" s="6" t="str">
        <f t="shared" si="25"/>
        <v/>
      </c>
      <c r="AP11" s="5">
        <f t="shared" si="26"/>
        <v>0</v>
      </c>
      <c r="AQ11" s="5">
        <f t="shared" si="27"/>
        <v>0</v>
      </c>
      <c r="AR11" s="5">
        <f t="shared" si="28"/>
        <v>0</v>
      </c>
      <c r="AS11" s="6" t="str">
        <f t="shared" si="29"/>
        <v/>
      </c>
    </row>
    <row r="12" spans="1:45" x14ac:dyDescent="0.2">
      <c r="A12" s="3" t="s">
        <v>20</v>
      </c>
      <c r="B12" s="5">
        <f>38201.07</f>
        <v>38201.07</v>
      </c>
      <c r="C12" s="5">
        <f>406440</f>
        <v>406440</v>
      </c>
      <c r="D12" s="5">
        <f t="shared" si="0"/>
        <v>-368238.93</v>
      </c>
      <c r="E12" s="6">
        <f t="shared" si="1"/>
        <v>9.398944493652199E-2</v>
      </c>
      <c r="F12" s="5">
        <f>274086.72</f>
        <v>274086.71999999997</v>
      </c>
      <c r="G12" s="4"/>
      <c r="H12" s="5">
        <f t="shared" si="2"/>
        <v>274086.71999999997</v>
      </c>
      <c r="I12" s="6" t="str">
        <f t="shared" si="3"/>
        <v/>
      </c>
      <c r="J12" s="5">
        <f t="shared" si="4"/>
        <v>312287.78999999998</v>
      </c>
      <c r="K12" s="5">
        <f t="shared" si="5"/>
        <v>406440</v>
      </c>
      <c r="L12" s="5">
        <f t="shared" si="6"/>
        <v>-94152.210000000021</v>
      </c>
      <c r="M12" s="6">
        <f t="shared" si="7"/>
        <v>0.7683490552111012</v>
      </c>
      <c r="N12" s="4"/>
      <c r="O12" s="4"/>
      <c r="P12" s="5">
        <f t="shared" si="8"/>
        <v>0</v>
      </c>
      <c r="Q12" s="6" t="str">
        <f t="shared" si="9"/>
        <v/>
      </c>
      <c r="R12" s="4"/>
      <c r="S12" s="4"/>
      <c r="T12" s="5">
        <f t="shared" si="10"/>
        <v>0</v>
      </c>
      <c r="U12" s="6" t="str">
        <f t="shared" si="11"/>
        <v/>
      </c>
      <c r="V12" s="5">
        <f t="shared" si="12"/>
        <v>0</v>
      </c>
      <c r="W12" s="5">
        <f t="shared" si="13"/>
        <v>0</v>
      </c>
      <c r="X12" s="5">
        <f t="shared" si="14"/>
        <v>0</v>
      </c>
      <c r="Y12" s="6" t="str">
        <f t="shared" si="15"/>
        <v/>
      </c>
      <c r="Z12" s="4"/>
      <c r="AA12" s="4"/>
      <c r="AB12" s="5">
        <f t="shared" si="16"/>
        <v>0</v>
      </c>
      <c r="AC12" s="6" t="str">
        <f t="shared" si="17"/>
        <v/>
      </c>
      <c r="AD12" s="4"/>
      <c r="AE12" s="4"/>
      <c r="AF12" s="5">
        <f t="shared" si="18"/>
        <v>0</v>
      </c>
      <c r="AG12" s="6" t="str">
        <f t="shared" si="19"/>
        <v/>
      </c>
      <c r="AH12" s="5">
        <f t="shared" si="20"/>
        <v>0</v>
      </c>
      <c r="AI12" s="5">
        <f t="shared" si="21"/>
        <v>0</v>
      </c>
      <c r="AJ12" s="5">
        <f t="shared" si="22"/>
        <v>0</v>
      </c>
      <c r="AK12" s="6" t="str">
        <f t="shared" si="23"/>
        <v/>
      </c>
      <c r="AL12" s="4"/>
      <c r="AM12" s="4"/>
      <c r="AN12" s="5">
        <f t="shared" si="24"/>
        <v>0</v>
      </c>
      <c r="AO12" s="6" t="str">
        <f t="shared" si="25"/>
        <v/>
      </c>
      <c r="AP12" s="5">
        <f t="shared" si="26"/>
        <v>312287.78999999998</v>
      </c>
      <c r="AQ12" s="5">
        <f t="shared" si="27"/>
        <v>406440</v>
      </c>
      <c r="AR12" s="5">
        <f t="shared" si="28"/>
        <v>-94152.210000000021</v>
      </c>
      <c r="AS12" s="6">
        <f t="shared" si="29"/>
        <v>0.7683490552111012</v>
      </c>
    </row>
    <row r="13" spans="1:45" x14ac:dyDescent="0.2">
      <c r="A13" s="3" t="s">
        <v>21</v>
      </c>
      <c r="B13" s="5">
        <f>1727.62</f>
        <v>1727.62</v>
      </c>
      <c r="C13" s="4"/>
      <c r="D13" s="5">
        <f t="shared" si="0"/>
        <v>1727.62</v>
      </c>
      <c r="E13" s="6" t="str">
        <f t="shared" si="1"/>
        <v/>
      </c>
      <c r="F13" s="4"/>
      <c r="G13" s="4"/>
      <c r="H13" s="5">
        <f t="shared" si="2"/>
        <v>0</v>
      </c>
      <c r="I13" s="6" t="str">
        <f t="shared" si="3"/>
        <v/>
      </c>
      <c r="J13" s="5">
        <f t="shared" si="4"/>
        <v>1727.62</v>
      </c>
      <c r="K13" s="5">
        <f t="shared" si="5"/>
        <v>0</v>
      </c>
      <c r="L13" s="5">
        <f t="shared" si="6"/>
        <v>1727.62</v>
      </c>
      <c r="M13" s="6" t="str">
        <f t="shared" si="7"/>
        <v/>
      </c>
      <c r="N13" s="4"/>
      <c r="O13" s="4"/>
      <c r="P13" s="5">
        <f t="shared" si="8"/>
        <v>0</v>
      </c>
      <c r="Q13" s="6" t="str">
        <f t="shared" si="9"/>
        <v/>
      </c>
      <c r="R13" s="4"/>
      <c r="S13" s="4"/>
      <c r="T13" s="5">
        <f t="shared" si="10"/>
        <v>0</v>
      </c>
      <c r="U13" s="6" t="str">
        <f t="shared" si="11"/>
        <v/>
      </c>
      <c r="V13" s="5">
        <f t="shared" si="12"/>
        <v>0</v>
      </c>
      <c r="W13" s="5">
        <f t="shared" si="13"/>
        <v>0</v>
      </c>
      <c r="X13" s="5">
        <f t="shared" si="14"/>
        <v>0</v>
      </c>
      <c r="Y13" s="6" t="str">
        <f t="shared" si="15"/>
        <v/>
      </c>
      <c r="Z13" s="4"/>
      <c r="AA13" s="4"/>
      <c r="AB13" s="5">
        <f t="shared" si="16"/>
        <v>0</v>
      </c>
      <c r="AC13" s="6" t="str">
        <f t="shared" si="17"/>
        <v/>
      </c>
      <c r="AD13" s="4"/>
      <c r="AE13" s="4"/>
      <c r="AF13" s="5">
        <f t="shared" si="18"/>
        <v>0</v>
      </c>
      <c r="AG13" s="6" t="str">
        <f t="shared" si="19"/>
        <v/>
      </c>
      <c r="AH13" s="5">
        <f t="shared" si="20"/>
        <v>0</v>
      </c>
      <c r="AI13" s="5">
        <f t="shared" si="21"/>
        <v>0</v>
      </c>
      <c r="AJ13" s="5">
        <f t="shared" si="22"/>
        <v>0</v>
      </c>
      <c r="AK13" s="6" t="str">
        <f t="shared" si="23"/>
        <v/>
      </c>
      <c r="AL13" s="4"/>
      <c r="AM13" s="4"/>
      <c r="AN13" s="5">
        <f t="shared" si="24"/>
        <v>0</v>
      </c>
      <c r="AO13" s="6" t="str">
        <f t="shared" si="25"/>
        <v/>
      </c>
      <c r="AP13" s="5">
        <f t="shared" si="26"/>
        <v>1727.62</v>
      </c>
      <c r="AQ13" s="5">
        <f t="shared" si="27"/>
        <v>0</v>
      </c>
      <c r="AR13" s="5">
        <f t="shared" si="28"/>
        <v>1727.62</v>
      </c>
      <c r="AS13" s="6" t="str">
        <f t="shared" si="29"/>
        <v/>
      </c>
    </row>
    <row r="14" spans="1:45" x14ac:dyDescent="0.2">
      <c r="A14" s="3" t="s">
        <v>22</v>
      </c>
      <c r="B14" s="7">
        <f>((B11)+(B12))+(B13)</f>
        <v>39928.69</v>
      </c>
      <c r="C14" s="7">
        <f>((C11)+(C12))+(C13)</f>
        <v>406440</v>
      </c>
      <c r="D14" s="7">
        <f t="shared" si="0"/>
        <v>-366511.31</v>
      </c>
      <c r="E14" s="8">
        <f t="shared" si="1"/>
        <v>9.8240060033461279E-2</v>
      </c>
      <c r="F14" s="7">
        <f>((F11)+(F12))+(F13)</f>
        <v>274086.71999999997</v>
      </c>
      <c r="G14" s="7">
        <f>((G11)+(G12))+(G13)</f>
        <v>0</v>
      </c>
      <c r="H14" s="7">
        <f t="shared" si="2"/>
        <v>274086.71999999997</v>
      </c>
      <c r="I14" s="8" t="str">
        <f t="shared" si="3"/>
        <v/>
      </c>
      <c r="J14" s="7">
        <f t="shared" si="4"/>
        <v>314015.40999999997</v>
      </c>
      <c r="K14" s="7">
        <f t="shared" si="5"/>
        <v>406440</v>
      </c>
      <c r="L14" s="7">
        <f t="shared" si="6"/>
        <v>-92424.590000000026</v>
      </c>
      <c r="M14" s="8">
        <f t="shared" si="7"/>
        <v>0.77259967030804044</v>
      </c>
      <c r="N14" s="7">
        <f>((N11)+(N12))+(N13)</f>
        <v>0</v>
      </c>
      <c r="O14" s="7">
        <f>((O11)+(O12))+(O13)</f>
        <v>0</v>
      </c>
      <c r="P14" s="7">
        <f t="shared" si="8"/>
        <v>0</v>
      </c>
      <c r="Q14" s="8" t="str">
        <f t="shared" si="9"/>
        <v/>
      </c>
      <c r="R14" s="7">
        <f>((R11)+(R12))+(R13)</f>
        <v>0</v>
      </c>
      <c r="S14" s="7">
        <f>((S11)+(S12))+(S13)</f>
        <v>0</v>
      </c>
      <c r="T14" s="7">
        <f t="shared" si="10"/>
        <v>0</v>
      </c>
      <c r="U14" s="8" t="str">
        <f t="shared" si="11"/>
        <v/>
      </c>
      <c r="V14" s="7">
        <f t="shared" si="12"/>
        <v>0</v>
      </c>
      <c r="W14" s="7">
        <f t="shared" si="13"/>
        <v>0</v>
      </c>
      <c r="X14" s="7">
        <f t="shared" si="14"/>
        <v>0</v>
      </c>
      <c r="Y14" s="8" t="str">
        <f t="shared" si="15"/>
        <v/>
      </c>
      <c r="Z14" s="7">
        <f>((Z11)+(Z12))+(Z13)</f>
        <v>0</v>
      </c>
      <c r="AA14" s="7">
        <f>((AA11)+(AA12))+(AA13)</f>
        <v>0</v>
      </c>
      <c r="AB14" s="7">
        <f t="shared" si="16"/>
        <v>0</v>
      </c>
      <c r="AC14" s="8" t="str">
        <f t="shared" si="17"/>
        <v/>
      </c>
      <c r="AD14" s="7">
        <f>((AD11)+(AD12))+(AD13)</f>
        <v>0</v>
      </c>
      <c r="AE14" s="7">
        <f>((AE11)+(AE12))+(AE13)</f>
        <v>0</v>
      </c>
      <c r="AF14" s="7">
        <f t="shared" si="18"/>
        <v>0</v>
      </c>
      <c r="AG14" s="8" t="str">
        <f t="shared" si="19"/>
        <v/>
      </c>
      <c r="AH14" s="7">
        <f t="shared" si="20"/>
        <v>0</v>
      </c>
      <c r="AI14" s="7">
        <f t="shared" si="21"/>
        <v>0</v>
      </c>
      <c r="AJ14" s="7">
        <f t="shared" si="22"/>
        <v>0</v>
      </c>
      <c r="AK14" s="8" t="str">
        <f t="shared" si="23"/>
        <v/>
      </c>
      <c r="AL14" s="7">
        <f>((AL11)+(AL12))+(AL13)</f>
        <v>0</v>
      </c>
      <c r="AM14" s="7">
        <f>((AM11)+(AM12))+(AM13)</f>
        <v>0</v>
      </c>
      <c r="AN14" s="7">
        <f t="shared" si="24"/>
        <v>0</v>
      </c>
      <c r="AO14" s="8" t="str">
        <f t="shared" si="25"/>
        <v/>
      </c>
      <c r="AP14" s="7">
        <f t="shared" si="26"/>
        <v>314015.40999999997</v>
      </c>
      <c r="AQ14" s="7">
        <f t="shared" si="27"/>
        <v>406440</v>
      </c>
      <c r="AR14" s="7">
        <f t="shared" si="28"/>
        <v>-92424.590000000026</v>
      </c>
      <c r="AS14" s="8">
        <f t="shared" si="29"/>
        <v>0.77259967030804044</v>
      </c>
    </row>
    <row r="15" spans="1:45" x14ac:dyDescent="0.2">
      <c r="A15" s="3" t="s">
        <v>23</v>
      </c>
      <c r="B15" s="5">
        <f>25</f>
        <v>25</v>
      </c>
      <c r="C15" s="5">
        <f>25000</f>
        <v>25000</v>
      </c>
      <c r="D15" s="5">
        <f t="shared" si="0"/>
        <v>-24975</v>
      </c>
      <c r="E15" s="6">
        <f t="shared" si="1"/>
        <v>1E-3</v>
      </c>
      <c r="F15" s="4"/>
      <c r="G15" s="4"/>
      <c r="H15" s="5">
        <f t="shared" si="2"/>
        <v>0</v>
      </c>
      <c r="I15" s="6" t="str">
        <f t="shared" si="3"/>
        <v/>
      </c>
      <c r="J15" s="5">
        <f t="shared" si="4"/>
        <v>25</v>
      </c>
      <c r="K15" s="5">
        <f t="shared" si="5"/>
        <v>25000</v>
      </c>
      <c r="L15" s="5">
        <f t="shared" si="6"/>
        <v>-24975</v>
      </c>
      <c r="M15" s="6">
        <f t="shared" si="7"/>
        <v>1E-3</v>
      </c>
      <c r="N15" s="4"/>
      <c r="O15" s="4"/>
      <c r="P15" s="5">
        <f t="shared" si="8"/>
        <v>0</v>
      </c>
      <c r="Q15" s="6" t="str">
        <f t="shared" si="9"/>
        <v/>
      </c>
      <c r="R15" s="4"/>
      <c r="S15" s="4"/>
      <c r="T15" s="5">
        <f t="shared" si="10"/>
        <v>0</v>
      </c>
      <c r="U15" s="6" t="str">
        <f t="shared" si="11"/>
        <v/>
      </c>
      <c r="V15" s="5">
        <f t="shared" si="12"/>
        <v>0</v>
      </c>
      <c r="W15" s="5">
        <f t="shared" si="13"/>
        <v>0</v>
      </c>
      <c r="X15" s="5">
        <f t="shared" si="14"/>
        <v>0</v>
      </c>
      <c r="Y15" s="6" t="str">
        <f t="shared" si="15"/>
        <v/>
      </c>
      <c r="Z15" s="4"/>
      <c r="AA15" s="4"/>
      <c r="AB15" s="5">
        <f t="shared" si="16"/>
        <v>0</v>
      </c>
      <c r="AC15" s="6" t="str">
        <f t="shared" si="17"/>
        <v/>
      </c>
      <c r="AD15" s="4"/>
      <c r="AE15" s="4"/>
      <c r="AF15" s="5">
        <f t="shared" si="18"/>
        <v>0</v>
      </c>
      <c r="AG15" s="6" t="str">
        <f t="shared" si="19"/>
        <v/>
      </c>
      <c r="AH15" s="5">
        <f t="shared" si="20"/>
        <v>0</v>
      </c>
      <c r="AI15" s="5">
        <f t="shared" si="21"/>
        <v>0</v>
      </c>
      <c r="AJ15" s="5">
        <f t="shared" si="22"/>
        <v>0</v>
      </c>
      <c r="AK15" s="6" t="str">
        <f t="shared" si="23"/>
        <v/>
      </c>
      <c r="AL15" s="4"/>
      <c r="AM15" s="4"/>
      <c r="AN15" s="5">
        <f t="shared" si="24"/>
        <v>0</v>
      </c>
      <c r="AO15" s="6" t="str">
        <f t="shared" si="25"/>
        <v/>
      </c>
      <c r="AP15" s="5">
        <f t="shared" si="26"/>
        <v>25</v>
      </c>
      <c r="AQ15" s="5">
        <f t="shared" si="27"/>
        <v>25000</v>
      </c>
      <c r="AR15" s="5">
        <f t="shared" si="28"/>
        <v>-24975</v>
      </c>
      <c r="AS15" s="6">
        <f t="shared" si="29"/>
        <v>1E-3</v>
      </c>
    </row>
    <row r="16" spans="1:45" x14ac:dyDescent="0.2">
      <c r="A16" s="3" t="s">
        <v>24</v>
      </c>
      <c r="B16" s="4"/>
      <c r="C16" s="5">
        <f>3000</f>
        <v>3000</v>
      </c>
      <c r="D16" s="5">
        <f t="shared" si="0"/>
        <v>-3000</v>
      </c>
      <c r="E16" s="6">
        <f t="shared" si="1"/>
        <v>0</v>
      </c>
      <c r="F16" s="4"/>
      <c r="G16" s="4"/>
      <c r="H16" s="5">
        <f t="shared" si="2"/>
        <v>0</v>
      </c>
      <c r="I16" s="6" t="str">
        <f t="shared" si="3"/>
        <v/>
      </c>
      <c r="J16" s="5">
        <f t="shared" si="4"/>
        <v>0</v>
      </c>
      <c r="K16" s="5">
        <f t="shared" si="5"/>
        <v>3000</v>
      </c>
      <c r="L16" s="5">
        <f t="shared" si="6"/>
        <v>-3000</v>
      </c>
      <c r="M16" s="6">
        <f t="shared" si="7"/>
        <v>0</v>
      </c>
      <c r="N16" s="4"/>
      <c r="O16" s="4"/>
      <c r="P16" s="5">
        <f t="shared" si="8"/>
        <v>0</v>
      </c>
      <c r="Q16" s="6" t="str">
        <f t="shared" si="9"/>
        <v/>
      </c>
      <c r="R16" s="4"/>
      <c r="S16" s="4"/>
      <c r="T16" s="5">
        <f t="shared" si="10"/>
        <v>0</v>
      </c>
      <c r="U16" s="6" t="str">
        <f t="shared" si="11"/>
        <v/>
      </c>
      <c r="V16" s="5">
        <f t="shared" si="12"/>
        <v>0</v>
      </c>
      <c r="W16" s="5">
        <f t="shared" si="13"/>
        <v>0</v>
      </c>
      <c r="X16" s="5">
        <f t="shared" si="14"/>
        <v>0</v>
      </c>
      <c r="Y16" s="6" t="str">
        <f t="shared" si="15"/>
        <v/>
      </c>
      <c r="Z16" s="4"/>
      <c r="AA16" s="4"/>
      <c r="AB16" s="5">
        <f t="shared" si="16"/>
        <v>0</v>
      </c>
      <c r="AC16" s="6" t="str">
        <f t="shared" si="17"/>
        <v/>
      </c>
      <c r="AD16" s="4"/>
      <c r="AE16" s="4"/>
      <c r="AF16" s="5">
        <f t="shared" si="18"/>
        <v>0</v>
      </c>
      <c r="AG16" s="6" t="str">
        <f t="shared" si="19"/>
        <v/>
      </c>
      <c r="AH16" s="5">
        <f t="shared" si="20"/>
        <v>0</v>
      </c>
      <c r="AI16" s="5">
        <f t="shared" si="21"/>
        <v>0</v>
      </c>
      <c r="AJ16" s="5">
        <f t="shared" si="22"/>
        <v>0</v>
      </c>
      <c r="AK16" s="6" t="str">
        <f t="shared" si="23"/>
        <v/>
      </c>
      <c r="AL16" s="4"/>
      <c r="AM16" s="4"/>
      <c r="AN16" s="5">
        <f t="shared" si="24"/>
        <v>0</v>
      </c>
      <c r="AO16" s="6" t="str">
        <f t="shared" si="25"/>
        <v/>
      </c>
      <c r="AP16" s="5">
        <f t="shared" si="26"/>
        <v>0</v>
      </c>
      <c r="AQ16" s="5">
        <f t="shared" si="27"/>
        <v>3000</v>
      </c>
      <c r="AR16" s="5">
        <f t="shared" si="28"/>
        <v>-3000</v>
      </c>
      <c r="AS16" s="6">
        <f t="shared" si="29"/>
        <v>0</v>
      </c>
    </row>
    <row r="17" spans="1:45" x14ac:dyDescent="0.2">
      <c r="A17" s="3" t="s">
        <v>25</v>
      </c>
      <c r="B17" s="7">
        <f>(((B10)+(B14))+(B15))+(B16)</f>
        <v>39953.69</v>
      </c>
      <c r="C17" s="7">
        <f>(((C10)+(C14))+(C15))+(C16)</f>
        <v>434440</v>
      </c>
      <c r="D17" s="7">
        <f t="shared" si="0"/>
        <v>-394486.31</v>
      </c>
      <c r="E17" s="8">
        <f t="shared" si="1"/>
        <v>9.1965956173464702E-2</v>
      </c>
      <c r="F17" s="7">
        <f>(((F10)+(F14))+(F15))+(F16)</f>
        <v>274086.71999999997</v>
      </c>
      <c r="G17" s="7">
        <f>(((G10)+(G14))+(G15))+(G16)</f>
        <v>0</v>
      </c>
      <c r="H17" s="7">
        <f t="shared" si="2"/>
        <v>274086.71999999997</v>
      </c>
      <c r="I17" s="8" t="str">
        <f t="shared" si="3"/>
        <v/>
      </c>
      <c r="J17" s="7">
        <f t="shared" si="4"/>
        <v>314040.40999999997</v>
      </c>
      <c r="K17" s="7">
        <f t="shared" si="5"/>
        <v>434440</v>
      </c>
      <c r="L17" s="7">
        <f t="shared" si="6"/>
        <v>-120399.59000000003</v>
      </c>
      <c r="M17" s="8">
        <f t="shared" si="7"/>
        <v>0.7228625586962526</v>
      </c>
      <c r="N17" s="7">
        <f>(((N10)+(N14))+(N15))+(N16)</f>
        <v>0</v>
      </c>
      <c r="O17" s="7">
        <f>(((O10)+(O14))+(O15))+(O16)</f>
        <v>0</v>
      </c>
      <c r="P17" s="7">
        <f t="shared" si="8"/>
        <v>0</v>
      </c>
      <c r="Q17" s="8" t="str">
        <f t="shared" si="9"/>
        <v/>
      </c>
      <c r="R17" s="7">
        <f>(((R10)+(R14))+(R15))+(R16)</f>
        <v>0</v>
      </c>
      <c r="S17" s="7">
        <f>(((S10)+(S14))+(S15))+(S16)</f>
        <v>0</v>
      </c>
      <c r="T17" s="7">
        <f t="shared" si="10"/>
        <v>0</v>
      </c>
      <c r="U17" s="8" t="str">
        <f t="shared" si="11"/>
        <v/>
      </c>
      <c r="V17" s="7">
        <f t="shared" si="12"/>
        <v>0</v>
      </c>
      <c r="W17" s="7">
        <f t="shared" si="13"/>
        <v>0</v>
      </c>
      <c r="X17" s="7">
        <f t="shared" si="14"/>
        <v>0</v>
      </c>
      <c r="Y17" s="8" t="str">
        <f t="shared" si="15"/>
        <v/>
      </c>
      <c r="Z17" s="7">
        <f>(((Z10)+(Z14))+(Z15))+(Z16)</f>
        <v>0</v>
      </c>
      <c r="AA17" s="7">
        <f>(((AA10)+(AA14))+(AA15))+(AA16)</f>
        <v>0</v>
      </c>
      <c r="AB17" s="7">
        <f t="shared" si="16"/>
        <v>0</v>
      </c>
      <c r="AC17" s="8" t="str">
        <f t="shared" si="17"/>
        <v/>
      </c>
      <c r="AD17" s="7">
        <f>(((AD10)+(AD14))+(AD15))+(AD16)</f>
        <v>0</v>
      </c>
      <c r="AE17" s="7">
        <f>(((AE10)+(AE14))+(AE15))+(AE16)</f>
        <v>0</v>
      </c>
      <c r="AF17" s="7">
        <f t="shared" si="18"/>
        <v>0</v>
      </c>
      <c r="AG17" s="8" t="str">
        <f t="shared" si="19"/>
        <v/>
      </c>
      <c r="AH17" s="7">
        <f t="shared" si="20"/>
        <v>0</v>
      </c>
      <c r="AI17" s="7">
        <f t="shared" si="21"/>
        <v>0</v>
      </c>
      <c r="AJ17" s="7">
        <f t="shared" si="22"/>
        <v>0</v>
      </c>
      <c r="AK17" s="8" t="str">
        <f t="shared" si="23"/>
        <v/>
      </c>
      <c r="AL17" s="7">
        <f>(((AL10)+(AL14))+(AL15))+(AL16)</f>
        <v>0</v>
      </c>
      <c r="AM17" s="7">
        <f>(((AM10)+(AM14))+(AM15))+(AM16)</f>
        <v>0</v>
      </c>
      <c r="AN17" s="7">
        <f t="shared" si="24"/>
        <v>0</v>
      </c>
      <c r="AO17" s="8" t="str">
        <f t="shared" si="25"/>
        <v/>
      </c>
      <c r="AP17" s="7">
        <f t="shared" si="26"/>
        <v>314040.40999999997</v>
      </c>
      <c r="AQ17" s="7">
        <f t="shared" si="27"/>
        <v>434440</v>
      </c>
      <c r="AR17" s="7">
        <f t="shared" si="28"/>
        <v>-120399.59000000003</v>
      </c>
      <c r="AS17" s="8">
        <f t="shared" si="29"/>
        <v>0.7228625586962526</v>
      </c>
    </row>
    <row r="18" spans="1:45" x14ac:dyDescent="0.2">
      <c r="A18" s="3" t="s">
        <v>26</v>
      </c>
      <c r="B18" s="4"/>
      <c r="C18" s="4"/>
      <c r="D18" s="5">
        <f t="shared" si="0"/>
        <v>0</v>
      </c>
      <c r="E18" s="6" t="str">
        <f t="shared" si="1"/>
        <v/>
      </c>
      <c r="F18" s="4"/>
      <c r="G18" s="4"/>
      <c r="H18" s="5">
        <f t="shared" si="2"/>
        <v>0</v>
      </c>
      <c r="I18" s="6" t="str">
        <f t="shared" si="3"/>
        <v/>
      </c>
      <c r="J18" s="5">
        <f t="shared" si="4"/>
        <v>0</v>
      </c>
      <c r="K18" s="5">
        <f t="shared" si="5"/>
        <v>0</v>
      </c>
      <c r="L18" s="5">
        <f t="shared" si="6"/>
        <v>0</v>
      </c>
      <c r="M18" s="6" t="str">
        <f t="shared" si="7"/>
        <v/>
      </c>
      <c r="N18" s="4"/>
      <c r="O18" s="4"/>
      <c r="P18" s="5">
        <f t="shared" si="8"/>
        <v>0</v>
      </c>
      <c r="Q18" s="6" t="str">
        <f t="shared" si="9"/>
        <v/>
      </c>
      <c r="R18" s="4"/>
      <c r="S18" s="4"/>
      <c r="T18" s="5">
        <f t="shared" si="10"/>
        <v>0</v>
      </c>
      <c r="U18" s="6" t="str">
        <f t="shared" si="11"/>
        <v/>
      </c>
      <c r="V18" s="5">
        <f t="shared" si="12"/>
        <v>0</v>
      </c>
      <c r="W18" s="5">
        <f t="shared" si="13"/>
        <v>0</v>
      </c>
      <c r="X18" s="5">
        <f t="shared" si="14"/>
        <v>0</v>
      </c>
      <c r="Y18" s="6" t="str">
        <f t="shared" si="15"/>
        <v/>
      </c>
      <c r="Z18" s="4"/>
      <c r="AA18" s="4"/>
      <c r="AB18" s="5">
        <f t="shared" si="16"/>
        <v>0</v>
      </c>
      <c r="AC18" s="6" t="str">
        <f t="shared" si="17"/>
        <v/>
      </c>
      <c r="AD18" s="4"/>
      <c r="AE18" s="4"/>
      <c r="AF18" s="5">
        <f t="shared" si="18"/>
        <v>0</v>
      </c>
      <c r="AG18" s="6" t="str">
        <f t="shared" si="19"/>
        <v/>
      </c>
      <c r="AH18" s="5">
        <f t="shared" si="20"/>
        <v>0</v>
      </c>
      <c r="AI18" s="5">
        <f t="shared" si="21"/>
        <v>0</v>
      </c>
      <c r="AJ18" s="5">
        <f t="shared" si="22"/>
        <v>0</v>
      </c>
      <c r="AK18" s="6" t="str">
        <f t="shared" si="23"/>
        <v/>
      </c>
      <c r="AL18" s="4"/>
      <c r="AM18" s="4"/>
      <c r="AN18" s="5">
        <f t="shared" si="24"/>
        <v>0</v>
      </c>
      <c r="AO18" s="6" t="str">
        <f t="shared" si="25"/>
        <v/>
      </c>
      <c r="AP18" s="5">
        <f t="shared" si="26"/>
        <v>0</v>
      </c>
      <c r="AQ18" s="5">
        <f t="shared" si="27"/>
        <v>0</v>
      </c>
      <c r="AR18" s="5">
        <f t="shared" si="28"/>
        <v>0</v>
      </c>
      <c r="AS18" s="6" t="str">
        <f t="shared" si="29"/>
        <v/>
      </c>
    </row>
    <row r="19" spans="1:45" x14ac:dyDescent="0.2">
      <c r="A19" s="3" t="s">
        <v>27</v>
      </c>
      <c r="B19" s="5">
        <f>362.5</f>
        <v>362.5</v>
      </c>
      <c r="C19" s="5">
        <f>1500</f>
        <v>1500</v>
      </c>
      <c r="D19" s="5">
        <f t="shared" si="0"/>
        <v>-1137.5</v>
      </c>
      <c r="E19" s="6">
        <f t="shared" si="1"/>
        <v>0.24166666666666667</v>
      </c>
      <c r="F19" s="4"/>
      <c r="G19" s="4"/>
      <c r="H19" s="5">
        <f t="shared" si="2"/>
        <v>0</v>
      </c>
      <c r="I19" s="6" t="str">
        <f t="shared" si="3"/>
        <v/>
      </c>
      <c r="J19" s="5">
        <f t="shared" si="4"/>
        <v>362.5</v>
      </c>
      <c r="K19" s="5">
        <f t="shared" si="5"/>
        <v>1500</v>
      </c>
      <c r="L19" s="5">
        <f t="shared" si="6"/>
        <v>-1137.5</v>
      </c>
      <c r="M19" s="6">
        <f t="shared" si="7"/>
        <v>0.24166666666666667</v>
      </c>
      <c r="N19" s="4"/>
      <c r="O19" s="4"/>
      <c r="P19" s="5">
        <f t="shared" si="8"/>
        <v>0</v>
      </c>
      <c r="Q19" s="6" t="str">
        <f t="shared" si="9"/>
        <v/>
      </c>
      <c r="R19" s="4"/>
      <c r="S19" s="4"/>
      <c r="T19" s="5">
        <f t="shared" si="10"/>
        <v>0</v>
      </c>
      <c r="U19" s="6" t="str">
        <f t="shared" si="11"/>
        <v/>
      </c>
      <c r="V19" s="5">
        <f t="shared" si="12"/>
        <v>0</v>
      </c>
      <c r="W19" s="5">
        <f t="shared" si="13"/>
        <v>0</v>
      </c>
      <c r="X19" s="5">
        <f t="shared" si="14"/>
        <v>0</v>
      </c>
      <c r="Y19" s="6" t="str">
        <f t="shared" si="15"/>
        <v/>
      </c>
      <c r="Z19" s="4"/>
      <c r="AA19" s="4"/>
      <c r="AB19" s="5">
        <f t="shared" si="16"/>
        <v>0</v>
      </c>
      <c r="AC19" s="6" t="str">
        <f t="shared" si="17"/>
        <v/>
      </c>
      <c r="AD19" s="4"/>
      <c r="AE19" s="4"/>
      <c r="AF19" s="5">
        <f t="shared" si="18"/>
        <v>0</v>
      </c>
      <c r="AG19" s="6" t="str">
        <f t="shared" si="19"/>
        <v/>
      </c>
      <c r="AH19" s="5">
        <f t="shared" si="20"/>
        <v>0</v>
      </c>
      <c r="AI19" s="5">
        <f t="shared" si="21"/>
        <v>0</v>
      </c>
      <c r="AJ19" s="5">
        <f t="shared" si="22"/>
        <v>0</v>
      </c>
      <c r="AK19" s="6" t="str">
        <f t="shared" si="23"/>
        <v/>
      </c>
      <c r="AL19" s="4"/>
      <c r="AM19" s="4"/>
      <c r="AN19" s="5">
        <f t="shared" si="24"/>
        <v>0</v>
      </c>
      <c r="AO19" s="6" t="str">
        <f t="shared" si="25"/>
        <v/>
      </c>
      <c r="AP19" s="5">
        <f t="shared" si="26"/>
        <v>362.5</v>
      </c>
      <c r="AQ19" s="5">
        <f t="shared" si="27"/>
        <v>1500</v>
      </c>
      <c r="AR19" s="5">
        <f t="shared" si="28"/>
        <v>-1137.5</v>
      </c>
      <c r="AS19" s="6">
        <f t="shared" si="29"/>
        <v>0.24166666666666667</v>
      </c>
    </row>
    <row r="20" spans="1:45" x14ac:dyDescent="0.2">
      <c r="A20" s="3" t="s">
        <v>28</v>
      </c>
      <c r="B20" s="5">
        <f>3287</f>
        <v>3287</v>
      </c>
      <c r="C20" s="5">
        <f>3000</f>
        <v>3000</v>
      </c>
      <c r="D20" s="5">
        <f t="shared" si="0"/>
        <v>287</v>
      </c>
      <c r="E20" s="6">
        <f t="shared" si="1"/>
        <v>1.0956666666666666</v>
      </c>
      <c r="F20" s="4"/>
      <c r="G20" s="4"/>
      <c r="H20" s="5">
        <f t="shared" si="2"/>
        <v>0</v>
      </c>
      <c r="I20" s="6" t="str">
        <f t="shared" si="3"/>
        <v/>
      </c>
      <c r="J20" s="5">
        <f t="shared" si="4"/>
        <v>3287</v>
      </c>
      <c r="K20" s="5">
        <f t="shared" si="5"/>
        <v>3000</v>
      </c>
      <c r="L20" s="5">
        <f t="shared" si="6"/>
        <v>287</v>
      </c>
      <c r="M20" s="6">
        <f t="shared" si="7"/>
        <v>1.0956666666666666</v>
      </c>
      <c r="N20" s="4"/>
      <c r="O20" s="4"/>
      <c r="P20" s="5">
        <f t="shared" si="8"/>
        <v>0</v>
      </c>
      <c r="Q20" s="6" t="str">
        <f t="shared" si="9"/>
        <v/>
      </c>
      <c r="R20" s="4"/>
      <c r="S20" s="4"/>
      <c r="T20" s="5">
        <f t="shared" si="10"/>
        <v>0</v>
      </c>
      <c r="U20" s="6" t="str">
        <f t="shared" si="11"/>
        <v/>
      </c>
      <c r="V20" s="5">
        <f t="shared" si="12"/>
        <v>0</v>
      </c>
      <c r="W20" s="5">
        <f t="shared" si="13"/>
        <v>0</v>
      </c>
      <c r="X20" s="5">
        <f t="shared" si="14"/>
        <v>0</v>
      </c>
      <c r="Y20" s="6" t="str">
        <f t="shared" si="15"/>
        <v/>
      </c>
      <c r="Z20" s="4"/>
      <c r="AA20" s="4"/>
      <c r="AB20" s="5">
        <f t="shared" si="16"/>
        <v>0</v>
      </c>
      <c r="AC20" s="6" t="str">
        <f t="shared" si="17"/>
        <v/>
      </c>
      <c r="AD20" s="4"/>
      <c r="AE20" s="4"/>
      <c r="AF20" s="5">
        <f t="shared" si="18"/>
        <v>0</v>
      </c>
      <c r="AG20" s="6" t="str">
        <f t="shared" si="19"/>
        <v/>
      </c>
      <c r="AH20" s="5">
        <f t="shared" si="20"/>
        <v>0</v>
      </c>
      <c r="AI20" s="5">
        <f t="shared" si="21"/>
        <v>0</v>
      </c>
      <c r="AJ20" s="5">
        <f t="shared" si="22"/>
        <v>0</v>
      </c>
      <c r="AK20" s="6" t="str">
        <f t="shared" si="23"/>
        <v/>
      </c>
      <c r="AL20" s="5">
        <f>20</f>
        <v>20</v>
      </c>
      <c r="AM20" s="4"/>
      <c r="AN20" s="5">
        <f t="shared" si="24"/>
        <v>20</v>
      </c>
      <c r="AO20" s="6" t="str">
        <f t="shared" si="25"/>
        <v/>
      </c>
      <c r="AP20" s="5">
        <f t="shared" si="26"/>
        <v>3307</v>
      </c>
      <c r="AQ20" s="5">
        <f t="shared" si="27"/>
        <v>3000</v>
      </c>
      <c r="AR20" s="5">
        <f t="shared" si="28"/>
        <v>307</v>
      </c>
      <c r="AS20" s="6">
        <f t="shared" si="29"/>
        <v>1.1023333333333334</v>
      </c>
    </row>
    <row r="21" spans="1:45" x14ac:dyDescent="0.2">
      <c r="A21" s="3" t="s">
        <v>29</v>
      </c>
      <c r="B21" s="5">
        <f>184.07</f>
        <v>184.07</v>
      </c>
      <c r="C21" s="5">
        <f>200</f>
        <v>200</v>
      </c>
      <c r="D21" s="5">
        <f t="shared" si="0"/>
        <v>-15.930000000000007</v>
      </c>
      <c r="E21" s="6">
        <f t="shared" si="1"/>
        <v>0.92035</v>
      </c>
      <c r="F21" s="5">
        <f>799.46</f>
        <v>799.46</v>
      </c>
      <c r="G21" s="4"/>
      <c r="H21" s="5">
        <f t="shared" si="2"/>
        <v>799.46</v>
      </c>
      <c r="I21" s="6" t="str">
        <f t="shared" si="3"/>
        <v/>
      </c>
      <c r="J21" s="5">
        <f t="shared" si="4"/>
        <v>983.53</v>
      </c>
      <c r="K21" s="5">
        <f t="shared" si="5"/>
        <v>200</v>
      </c>
      <c r="L21" s="5">
        <f t="shared" si="6"/>
        <v>783.53</v>
      </c>
      <c r="M21" s="6">
        <f t="shared" si="7"/>
        <v>4.9176500000000001</v>
      </c>
      <c r="N21" s="4"/>
      <c r="O21" s="4"/>
      <c r="P21" s="5">
        <f t="shared" si="8"/>
        <v>0</v>
      </c>
      <c r="Q21" s="6" t="str">
        <f t="shared" si="9"/>
        <v/>
      </c>
      <c r="R21" s="4"/>
      <c r="S21" s="4"/>
      <c r="T21" s="5">
        <f t="shared" si="10"/>
        <v>0</v>
      </c>
      <c r="U21" s="6" t="str">
        <f t="shared" si="11"/>
        <v/>
      </c>
      <c r="V21" s="5">
        <f t="shared" si="12"/>
        <v>0</v>
      </c>
      <c r="W21" s="5">
        <f t="shared" si="13"/>
        <v>0</v>
      </c>
      <c r="X21" s="5">
        <f t="shared" si="14"/>
        <v>0</v>
      </c>
      <c r="Y21" s="6" t="str">
        <f t="shared" si="15"/>
        <v/>
      </c>
      <c r="Z21" s="4"/>
      <c r="AA21" s="5">
        <f>500</f>
        <v>500</v>
      </c>
      <c r="AB21" s="5">
        <f t="shared" si="16"/>
        <v>-500</v>
      </c>
      <c r="AC21" s="6">
        <f t="shared" si="17"/>
        <v>0</v>
      </c>
      <c r="AD21" s="4"/>
      <c r="AE21" s="4"/>
      <c r="AF21" s="5">
        <f t="shared" si="18"/>
        <v>0</v>
      </c>
      <c r="AG21" s="6" t="str">
        <f t="shared" si="19"/>
        <v/>
      </c>
      <c r="AH21" s="5">
        <f t="shared" si="20"/>
        <v>0</v>
      </c>
      <c r="AI21" s="5">
        <f t="shared" si="21"/>
        <v>500</v>
      </c>
      <c r="AJ21" s="5">
        <f t="shared" si="22"/>
        <v>-500</v>
      </c>
      <c r="AK21" s="6">
        <f t="shared" si="23"/>
        <v>0</v>
      </c>
      <c r="AL21" s="4"/>
      <c r="AM21" s="4"/>
      <c r="AN21" s="5">
        <f t="shared" si="24"/>
        <v>0</v>
      </c>
      <c r="AO21" s="6" t="str">
        <f t="shared" si="25"/>
        <v/>
      </c>
      <c r="AP21" s="5">
        <f t="shared" si="26"/>
        <v>983.53</v>
      </c>
      <c r="AQ21" s="5">
        <f t="shared" si="27"/>
        <v>700</v>
      </c>
      <c r="AR21" s="5">
        <f t="shared" si="28"/>
        <v>283.52999999999997</v>
      </c>
      <c r="AS21" s="6">
        <f t="shared" si="29"/>
        <v>1.405042857142857</v>
      </c>
    </row>
    <row r="22" spans="1:45" x14ac:dyDescent="0.2">
      <c r="A22" s="3" t="s">
        <v>30</v>
      </c>
      <c r="B22" s="5">
        <f>673</f>
        <v>673</v>
      </c>
      <c r="C22" s="4"/>
      <c r="D22" s="5">
        <f t="shared" si="0"/>
        <v>673</v>
      </c>
      <c r="E22" s="6" t="str">
        <f t="shared" si="1"/>
        <v/>
      </c>
      <c r="F22" s="4"/>
      <c r="G22" s="4"/>
      <c r="H22" s="5">
        <f t="shared" si="2"/>
        <v>0</v>
      </c>
      <c r="I22" s="6" t="str">
        <f t="shared" si="3"/>
        <v/>
      </c>
      <c r="J22" s="5">
        <f t="shared" si="4"/>
        <v>673</v>
      </c>
      <c r="K22" s="5">
        <f t="shared" si="5"/>
        <v>0</v>
      </c>
      <c r="L22" s="5">
        <f t="shared" si="6"/>
        <v>673</v>
      </c>
      <c r="M22" s="6" t="str">
        <f t="shared" si="7"/>
        <v/>
      </c>
      <c r="N22" s="4"/>
      <c r="O22" s="4"/>
      <c r="P22" s="5">
        <f t="shared" si="8"/>
        <v>0</v>
      </c>
      <c r="Q22" s="6" t="str">
        <f t="shared" si="9"/>
        <v/>
      </c>
      <c r="R22" s="4"/>
      <c r="S22" s="4"/>
      <c r="T22" s="5">
        <f t="shared" si="10"/>
        <v>0</v>
      </c>
      <c r="U22" s="6" t="str">
        <f t="shared" si="11"/>
        <v/>
      </c>
      <c r="V22" s="5">
        <f t="shared" si="12"/>
        <v>0</v>
      </c>
      <c r="W22" s="5">
        <f t="shared" si="13"/>
        <v>0</v>
      </c>
      <c r="X22" s="5">
        <f t="shared" si="14"/>
        <v>0</v>
      </c>
      <c r="Y22" s="6" t="str">
        <f t="shared" si="15"/>
        <v/>
      </c>
      <c r="Z22" s="4"/>
      <c r="AA22" s="4"/>
      <c r="AB22" s="5">
        <f t="shared" si="16"/>
        <v>0</v>
      </c>
      <c r="AC22" s="6" t="str">
        <f t="shared" si="17"/>
        <v/>
      </c>
      <c r="AD22" s="4"/>
      <c r="AE22" s="4"/>
      <c r="AF22" s="5">
        <f t="shared" si="18"/>
        <v>0</v>
      </c>
      <c r="AG22" s="6" t="str">
        <f t="shared" si="19"/>
        <v/>
      </c>
      <c r="AH22" s="5">
        <f t="shared" si="20"/>
        <v>0</v>
      </c>
      <c r="AI22" s="5">
        <f t="shared" si="21"/>
        <v>0</v>
      </c>
      <c r="AJ22" s="5">
        <f t="shared" si="22"/>
        <v>0</v>
      </c>
      <c r="AK22" s="6" t="str">
        <f t="shared" si="23"/>
        <v/>
      </c>
      <c r="AL22" s="4"/>
      <c r="AM22" s="4"/>
      <c r="AN22" s="5">
        <f t="shared" si="24"/>
        <v>0</v>
      </c>
      <c r="AO22" s="6" t="str">
        <f t="shared" si="25"/>
        <v/>
      </c>
      <c r="AP22" s="5">
        <f t="shared" si="26"/>
        <v>673</v>
      </c>
      <c r="AQ22" s="5">
        <f t="shared" si="27"/>
        <v>0</v>
      </c>
      <c r="AR22" s="5">
        <f t="shared" si="28"/>
        <v>673</v>
      </c>
      <c r="AS22" s="6" t="str">
        <f t="shared" si="29"/>
        <v/>
      </c>
    </row>
    <row r="23" spans="1:45" x14ac:dyDescent="0.2">
      <c r="A23" s="3" t="s">
        <v>31</v>
      </c>
      <c r="B23" s="5">
        <f>200</f>
        <v>200</v>
      </c>
      <c r="C23" s="4"/>
      <c r="D23" s="5">
        <f t="shared" si="0"/>
        <v>200</v>
      </c>
      <c r="E23" s="6" t="str">
        <f t="shared" si="1"/>
        <v/>
      </c>
      <c r="F23" s="4"/>
      <c r="G23" s="4"/>
      <c r="H23" s="5">
        <f t="shared" si="2"/>
        <v>0</v>
      </c>
      <c r="I23" s="6" t="str">
        <f t="shared" si="3"/>
        <v/>
      </c>
      <c r="J23" s="5">
        <f t="shared" si="4"/>
        <v>200</v>
      </c>
      <c r="K23" s="5">
        <f t="shared" si="5"/>
        <v>0</v>
      </c>
      <c r="L23" s="5">
        <f t="shared" si="6"/>
        <v>200</v>
      </c>
      <c r="M23" s="6" t="str">
        <f t="shared" si="7"/>
        <v/>
      </c>
      <c r="N23" s="4"/>
      <c r="O23" s="4"/>
      <c r="P23" s="5">
        <f t="shared" si="8"/>
        <v>0</v>
      </c>
      <c r="Q23" s="6" t="str">
        <f t="shared" si="9"/>
        <v/>
      </c>
      <c r="R23" s="4"/>
      <c r="S23" s="4"/>
      <c r="T23" s="5">
        <f t="shared" si="10"/>
        <v>0</v>
      </c>
      <c r="U23" s="6" t="str">
        <f t="shared" si="11"/>
        <v/>
      </c>
      <c r="V23" s="5">
        <f t="shared" si="12"/>
        <v>0</v>
      </c>
      <c r="W23" s="5">
        <f t="shared" si="13"/>
        <v>0</v>
      </c>
      <c r="X23" s="5">
        <f t="shared" si="14"/>
        <v>0</v>
      </c>
      <c r="Y23" s="6" t="str">
        <f t="shared" si="15"/>
        <v/>
      </c>
      <c r="Z23" s="4"/>
      <c r="AA23" s="4"/>
      <c r="AB23" s="5">
        <f t="shared" si="16"/>
        <v>0</v>
      </c>
      <c r="AC23" s="6" t="str">
        <f t="shared" si="17"/>
        <v/>
      </c>
      <c r="AD23" s="4"/>
      <c r="AE23" s="4"/>
      <c r="AF23" s="5">
        <f t="shared" si="18"/>
        <v>0</v>
      </c>
      <c r="AG23" s="6" t="str">
        <f t="shared" si="19"/>
        <v/>
      </c>
      <c r="AH23" s="5">
        <f t="shared" si="20"/>
        <v>0</v>
      </c>
      <c r="AI23" s="5">
        <f t="shared" si="21"/>
        <v>0</v>
      </c>
      <c r="AJ23" s="5">
        <f t="shared" si="22"/>
        <v>0</v>
      </c>
      <c r="AK23" s="6" t="str">
        <f t="shared" si="23"/>
        <v/>
      </c>
      <c r="AL23" s="5">
        <f>200</f>
        <v>200</v>
      </c>
      <c r="AM23" s="4"/>
      <c r="AN23" s="5">
        <f t="shared" si="24"/>
        <v>200</v>
      </c>
      <c r="AO23" s="6" t="str">
        <f t="shared" si="25"/>
        <v/>
      </c>
      <c r="AP23" s="5">
        <f t="shared" si="26"/>
        <v>400</v>
      </c>
      <c r="AQ23" s="5">
        <f t="shared" si="27"/>
        <v>0</v>
      </c>
      <c r="AR23" s="5">
        <f t="shared" si="28"/>
        <v>400</v>
      </c>
      <c r="AS23" s="6" t="str">
        <f t="shared" si="29"/>
        <v/>
      </c>
    </row>
    <row r="24" spans="1:45" x14ac:dyDescent="0.2">
      <c r="A24" s="3" t="s">
        <v>32</v>
      </c>
      <c r="B24" s="5">
        <f>300</f>
        <v>300</v>
      </c>
      <c r="C24" s="4"/>
      <c r="D24" s="5">
        <f t="shared" si="0"/>
        <v>300</v>
      </c>
      <c r="E24" s="6" t="str">
        <f t="shared" si="1"/>
        <v/>
      </c>
      <c r="F24" s="4"/>
      <c r="G24" s="4"/>
      <c r="H24" s="5">
        <f t="shared" si="2"/>
        <v>0</v>
      </c>
      <c r="I24" s="6" t="str">
        <f t="shared" si="3"/>
        <v/>
      </c>
      <c r="J24" s="5">
        <f t="shared" si="4"/>
        <v>300</v>
      </c>
      <c r="K24" s="5">
        <f t="shared" si="5"/>
        <v>0</v>
      </c>
      <c r="L24" s="5">
        <f t="shared" si="6"/>
        <v>300</v>
      </c>
      <c r="M24" s="6" t="str">
        <f t="shared" si="7"/>
        <v/>
      </c>
      <c r="N24" s="4"/>
      <c r="O24" s="4"/>
      <c r="P24" s="5">
        <f t="shared" si="8"/>
        <v>0</v>
      </c>
      <c r="Q24" s="6" t="str">
        <f t="shared" si="9"/>
        <v/>
      </c>
      <c r="R24" s="4"/>
      <c r="S24" s="4"/>
      <c r="T24" s="5">
        <f t="shared" si="10"/>
        <v>0</v>
      </c>
      <c r="U24" s="6" t="str">
        <f t="shared" si="11"/>
        <v/>
      </c>
      <c r="V24" s="5">
        <f t="shared" si="12"/>
        <v>0</v>
      </c>
      <c r="W24" s="5">
        <f t="shared" si="13"/>
        <v>0</v>
      </c>
      <c r="X24" s="5">
        <f t="shared" si="14"/>
        <v>0</v>
      </c>
      <c r="Y24" s="6" t="str">
        <f t="shared" si="15"/>
        <v/>
      </c>
      <c r="Z24" s="4"/>
      <c r="AA24" s="4"/>
      <c r="AB24" s="5">
        <f t="shared" si="16"/>
        <v>0</v>
      </c>
      <c r="AC24" s="6" t="str">
        <f t="shared" si="17"/>
        <v/>
      </c>
      <c r="AD24" s="4"/>
      <c r="AE24" s="4"/>
      <c r="AF24" s="5">
        <f t="shared" si="18"/>
        <v>0</v>
      </c>
      <c r="AG24" s="6" t="str">
        <f t="shared" si="19"/>
        <v/>
      </c>
      <c r="AH24" s="5">
        <f t="shared" si="20"/>
        <v>0</v>
      </c>
      <c r="AI24" s="5">
        <f t="shared" si="21"/>
        <v>0</v>
      </c>
      <c r="AJ24" s="5">
        <f t="shared" si="22"/>
        <v>0</v>
      </c>
      <c r="AK24" s="6" t="str">
        <f t="shared" si="23"/>
        <v/>
      </c>
      <c r="AL24" s="4"/>
      <c r="AM24" s="4"/>
      <c r="AN24" s="5">
        <f t="shared" si="24"/>
        <v>0</v>
      </c>
      <c r="AO24" s="6" t="str">
        <f t="shared" si="25"/>
        <v/>
      </c>
      <c r="AP24" s="5">
        <f t="shared" si="26"/>
        <v>300</v>
      </c>
      <c r="AQ24" s="5">
        <f t="shared" si="27"/>
        <v>0</v>
      </c>
      <c r="AR24" s="5">
        <f t="shared" si="28"/>
        <v>300</v>
      </c>
      <c r="AS24" s="6" t="str">
        <f t="shared" si="29"/>
        <v/>
      </c>
    </row>
    <row r="25" spans="1:45" x14ac:dyDescent="0.2">
      <c r="A25" s="3" t="s">
        <v>33</v>
      </c>
      <c r="B25" s="7">
        <f>(B23)+(B24)</f>
        <v>500</v>
      </c>
      <c r="C25" s="7">
        <f>(C23)+(C24)</f>
        <v>0</v>
      </c>
      <c r="D25" s="7">
        <f t="shared" si="0"/>
        <v>500</v>
      </c>
      <c r="E25" s="8" t="str">
        <f t="shared" si="1"/>
        <v/>
      </c>
      <c r="F25" s="7">
        <f>(F23)+(F24)</f>
        <v>0</v>
      </c>
      <c r="G25" s="7">
        <f>(G23)+(G24)</f>
        <v>0</v>
      </c>
      <c r="H25" s="7">
        <f t="shared" si="2"/>
        <v>0</v>
      </c>
      <c r="I25" s="8" t="str">
        <f t="shared" si="3"/>
        <v/>
      </c>
      <c r="J25" s="7">
        <f t="shared" si="4"/>
        <v>500</v>
      </c>
      <c r="K25" s="7">
        <f t="shared" si="5"/>
        <v>0</v>
      </c>
      <c r="L25" s="7">
        <f t="shared" si="6"/>
        <v>500</v>
      </c>
      <c r="M25" s="8" t="str">
        <f t="shared" si="7"/>
        <v/>
      </c>
      <c r="N25" s="7">
        <f>(N23)+(N24)</f>
        <v>0</v>
      </c>
      <c r="O25" s="7">
        <f>(O23)+(O24)</f>
        <v>0</v>
      </c>
      <c r="P25" s="7">
        <f t="shared" si="8"/>
        <v>0</v>
      </c>
      <c r="Q25" s="8" t="str">
        <f t="shared" si="9"/>
        <v/>
      </c>
      <c r="R25" s="7">
        <f>(R23)+(R24)</f>
        <v>0</v>
      </c>
      <c r="S25" s="7">
        <f>(S23)+(S24)</f>
        <v>0</v>
      </c>
      <c r="T25" s="7">
        <f t="shared" si="10"/>
        <v>0</v>
      </c>
      <c r="U25" s="8" t="str">
        <f t="shared" si="11"/>
        <v/>
      </c>
      <c r="V25" s="7">
        <f t="shared" si="12"/>
        <v>0</v>
      </c>
      <c r="W25" s="7">
        <f t="shared" si="13"/>
        <v>0</v>
      </c>
      <c r="X25" s="7">
        <f t="shared" si="14"/>
        <v>0</v>
      </c>
      <c r="Y25" s="8" t="str">
        <f t="shared" si="15"/>
        <v/>
      </c>
      <c r="Z25" s="7">
        <f>(Z23)+(Z24)</f>
        <v>0</v>
      </c>
      <c r="AA25" s="7">
        <f>(AA23)+(AA24)</f>
        <v>0</v>
      </c>
      <c r="AB25" s="7">
        <f t="shared" si="16"/>
        <v>0</v>
      </c>
      <c r="AC25" s="8" t="str">
        <f t="shared" si="17"/>
        <v/>
      </c>
      <c r="AD25" s="7">
        <f>(AD23)+(AD24)</f>
        <v>0</v>
      </c>
      <c r="AE25" s="7">
        <f>(AE23)+(AE24)</f>
        <v>0</v>
      </c>
      <c r="AF25" s="7">
        <f t="shared" si="18"/>
        <v>0</v>
      </c>
      <c r="AG25" s="8" t="str">
        <f t="shared" si="19"/>
        <v/>
      </c>
      <c r="AH25" s="7">
        <f t="shared" si="20"/>
        <v>0</v>
      </c>
      <c r="AI25" s="7">
        <f t="shared" si="21"/>
        <v>0</v>
      </c>
      <c r="AJ25" s="7">
        <f t="shared" si="22"/>
        <v>0</v>
      </c>
      <c r="AK25" s="8" t="str">
        <f t="shared" si="23"/>
        <v/>
      </c>
      <c r="AL25" s="7">
        <f>(AL23)+(AL24)</f>
        <v>200</v>
      </c>
      <c r="AM25" s="7">
        <f>(AM23)+(AM24)</f>
        <v>0</v>
      </c>
      <c r="AN25" s="7">
        <f t="shared" si="24"/>
        <v>200</v>
      </c>
      <c r="AO25" s="8" t="str">
        <f t="shared" si="25"/>
        <v/>
      </c>
      <c r="AP25" s="7">
        <f t="shared" si="26"/>
        <v>700</v>
      </c>
      <c r="AQ25" s="7">
        <f t="shared" si="27"/>
        <v>0</v>
      </c>
      <c r="AR25" s="7">
        <f t="shared" si="28"/>
        <v>700</v>
      </c>
      <c r="AS25" s="8" t="str">
        <f t="shared" si="29"/>
        <v/>
      </c>
    </row>
    <row r="26" spans="1:45" ht="25" x14ac:dyDescent="0.2">
      <c r="A26" s="3" t="s">
        <v>34</v>
      </c>
      <c r="B26" s="7">
        <f>(((((B18)+(B19))+(B20))+(B21))+(B22))+(B25)</f>
        <v>5006.57</v>
      </c>
      <c r="C26" s="7">
        <f>(((((C18)+(C19))+(C20))+(C21))+(C22))+(C25)</f>
        <v>4700</v>
      </c>
      <c r="D26" s="7">
        <f t="shared" si="0"/>
        <v>306.56999999999971</v>
      </c>
      <c r="E26" s="8">
        <f t="shared" si="1"/>
        <v>1.0652276595744681</v>
      </c>
      <c r="F26" s="7">
        <f>(((((F18)+(F19))+(F20))+(F21))+(F22))+(F25)</f>
        <v>799.46</v>
      </c>
      <c r="G26" s="7">
        <f>(((((G18)+(G19))+(G20))+(G21))+(G22))+(G25)</f>
        <v>0</v>
      </c>
      <c r="H26" s="7">
        <f t="shared" si="2"/>
        <v>799.46</v>
      </c>
      <c r="I26" s="8" t="str">
        <f t="shared" si="3"/>
        <v/>
      </c>
      <c r="J26" s="7">
        <f t="shared" si="4"/>
        <v>5806.03</v>
      </c>
      <c r="K26" s="7">
        <f t="shared" si="5"/>
        <v>4700</v>
      </c>
      <c r="L26" s="7">
        <f t="shared" si="6"/>
        <v>1106.0299999999997</v>
      </c>
      <c r="M26" s="8">
        <f t="shared" si="7"/>
        <v>1.2353255319148935</v>
      </c>
      <c r="N26" s="7">
        <f>(((((N18)+(N19))+(N20))+(N21))+(N22))+(N25)</f>
        <v>0</v>
      </c>
      <c r="O26" s="7">
        <f>(((((O18)+(O19))+(O20))+(O21))+(O22))+(O25)</f>
        <v>0</v>
      </c>
      <c r="P26" s="7">
        <f t="shared" si="8"/>
        <v>0</v>
      </c>
      <c r="Q26" s="8" t="str">
        <f t="shared" si="9"/>
        <v/>
      </c>
      <c r="R26" s="7">
        <f>(((((R18)+(R19))+(R20))+(R21))+(R22))+(R25)</f>
        <v>0</v>
      </c>
      <c r="S26" s="7">
        <f>(((((S18)+(S19))+(S20))+(S21))+(S22))+(S25)</f>
        <v>0</v>
      </c>
      <c r="T26" s="7">
        <f t="shared" si="10"/>
        <v>0</v>
      </c>
      <c r="U26" s="8" t="str">
        <f t="shared" si="11"/>
        <v/>
      </c>
      <c r="V26" s="7">
        <f t="shared" si="12"/>
        <v>0</v>
      </c>
      <c r="W26" s="7">
        <f t="shared" si="13"/>
        <v>0</v>
      </c>
      <c r="X26" s="7">
        <f t="shared" si="14"/>
        <v>0</v>
      </c>
      <c r="Y26" s="8" t="str">
        <f t="shared" si="15"/>
        <v/>
      </c>
      <c r="Z26" s="7">
        <f>(((((Z18)+(Z19))+(Z20))+(Z21))+(Z22))+(Z25)</f>
        <v>0</v>
      </c>
      <c r="AA26" s="7">
        <f>(((((AA18)+(AA19))+(AA20))+(AA21))+(AA22))+(AA25)</f>
        <v>500</v>
      </c>
      <c r="AB26" s="7">
        <f t="shared" si="16"/>
        <v>-500</v>
      </c>
      <c r="AC26" s="8">
        <f t="shared" si="17"/>
        <v>0</v>
      </c>
      <c r="AD26" s="7">
        <f>(((((AD18)+(AD19))+(AD20))+(AD21))+(AD22))+(AD25)</f>
        <v>0</v>
      </c>
      <c r="AE26" s="7">
        <f>(((((AE18)+(AE19))+(AE20))+(AE21))+(AE22))+(AE25)</f>
        <v>0</v>
      </c>
      <c r="AF26" s="7">
        <f t="shared" si="18"/>
        <v>0</v>
      </c>
      <c r="AG26" s="8" t="str">
        <f t="shared" si="19"/>
        <v/>
      </c>
      <c r="AH26" s="7">
        <f t="shared" si="20"/>
        <v>0</v>
      </c>
      <c r="AI26" s="7">
        <f t="shared" si="21"/>
        <v>500</v>
      </c>
      <c r="AJ26" s="7">
        <f t="shared" si="22"/>
        <v>-500</v>
      </c>
      <c r="AK26" s="8">
        <f t="shared" si="23"/>
        <v>0</v>
      </c>
      <c r="AL26" s="7">
        <f>(((((AL18)+(AL19))+(AL20))+(AL21))+(AL22))+(AL25)</f>
        <v>220</v>
      </c>
      <c r="AM26" s="7">
        <f>(((((AM18)+(AM19))+(AM20))+(AM21))+(AM22))+(AM25)</f>
        <v>0</v>
      </c>
      <c r="AN26" s="7">
        <f t="shared" si="24"/>
        <v>220</v>
      </c>
      <c r="AO26" s="8" t="str">
        <f t="shared" si="25"/>
        <v/>
      </c>
      <c r="AP26" s="7">
        <f t="shared" si="26"/>
        <v>6026.03</v>
      </c>
      <c r="AQ26" s="7">
        <f t="shared" si="27"/>
        <v>5200</v>
      </c>
      <c r="AR26" s="7">
        <f t="shared" si="28"/>
        <v>826.02999999999975</v>
      </c>
      <c r="AS26" s="8">
        <f t="shared" si="29"/>
        <v>1.158851923076923</v>
      </c>
    </row>
    <row r="27" spans="1:45" x14ac:dyDescent="0.2">
      <c r="A27" s="3" t="s">
        <v>35</v>
      </c>
      <c r="B27" s="7">
        <f>((B9)+(B17))+(B26)</f>
        <v>44963.46</v>
      </c>
      <c r="C27" s="7">
        <f>((C9)+(C17))+(C26)</f>
        <v>439140</v>
      </c>
      <c r="D27" s="7">
        <f t="shared" si="0"/>
        <v>-394176.54</v>
      </c>
      <c r="E27" s="8">
        <f t="shared" si="1"/>
        <v>0.10238980735073097</v>
      </c>
      <c r="F27" s="7">
        <f>((F9)+(F17))+(F26)</f>
        <v>274886.18</v>
      </c>
      <c r="G27" s="7">
        <f>((G9)+(G17))+(G26)</f>
        <v>0</v>
      </c>
      <c r="H27" s="7">
        <f t="shared" si="2"/>
        <v>274886.18</v>
      </c>
      <c r="I27" s="8" t="str">
        <f t="shared" si="3"/>
        <v/>
      </c>
      <c r="J27" s="7">
        <f t="shared" si="4"/>
        <v>319849.64</v>
      </c>
      <c r="K27" s="7">
        <f t="shared" si="5"/>
        <v>439140</v>
      </c>
      <c r="L27" s="7">
        <f t="shared" si="6"/>
        <v>-119290.35999999999</v>
      </c>
      <c r="M27" s="8">
        <f t="shared" si="7"/>
        <v>0.72835460217698234</v>
      </c>
      <c r="N27" s="7">
        <f>((N9)+(N17))+(N26)</f>
        <v>0</v>
      </c>
      <c r="O27" s="7">
        <f>((O9)+(O17))+(O26)</f>
        <v>0</v>
      </c>
      <c r="P27" s="7">
        <f t="shared" si="8"/>
        <v>0</v>
      </c>
      <c r="Q27" s="8" t="str">
        <f t="shared" si="9"/>
        <v/>
      </c>
      <c r="R27" s="7">
        <f>((R9)+(R17))+(R26)</f>
        <v>0</v>
      </c>
      <c r="S27" s="7">
        <f>((S9)+(S17))+(S26)</f>
        <v>0</v>
      </c>
      <c r="T27" s="7">
        <f t="shared" si="10"/>
        <v>0</v>
      </c>
      <c r="U27" s="8" t="str">
        <f t="shared" si="11"/>
        <v/>
      </c>
      <c r="V27" s="7">
        <f t="shared" si="12"/>
        <v>0</v>
      </c>
      <c r="W27" s="7">
        <f t="shared" si="13"/>
        <v>0</v>
      </c>
      <c r="X27" s="7">
        <f t="shared" si="14"/>
        <v>0</v>
      </c>
      <c r="Y27" s="8" t="str">
        <f t="shared" si="15"/>
        <v/>
      </c>
      <c r="Z27" s="7">
        <f>((Z9)+(Z17))+(Z26)</f>
        <v>0</v>
      </c>
      <c r="AA27" s="7">
        <f>((AA9)+(AA17))+(AA26)</f>
        <v>500</v>
      </c>
      <c r="AB27" s="7">
        <f t="shared" si="16"/>
        <v>-500</v>
      </c>
      <c r="AC27" s="8">
        <f t="shared" si="17"/>
        <v>0</v>
      </c>
      <c r="AD27" s="7">
        <f>((AD9)+(AD17))+(AD26)</f>
        <v>0</v>
      </c>
      <c r="AE27" s="7">
        <f>((AE9)+(AE17))+(AE26)</f>
        <v>0</v>
      </c>
      <c r="AF27" s="7">
        <f t="shared" si="18"/>
        <v>0</v>
      </c>
      <c r="AG27" s="8" t="str">
        <f t="shared" si="19"/>
        <v/>
      </c>
      <c r="AH27" s="7">
        <f t="shared" si="20"/>
        <v>0</v>
      </c>
      <c r="AI27" s="7">
        <f t="shared" si="21"/>
        <v>500</v>
      </c>
      <c r="AJ27" s="7">
        <f t="shared" si="22"/>
        <v>-500</v>
      </c>
      <c r="AK27" s="8">
        <f t="shared" si="23"/>
        <v>0</v>
      </c>
      <c r="AL27" s="7">
        <f>((AL9)+(AL17))+(AL26)</f>
        <v>220</v>
      </c>
      <c r="AM27" s="7">
        <f>((AM9)+(AM17))+(AM26)</f>
        <v>0</v>
      </c>
      <c r="AN27" s="7">
        <f t="shared" si="24"/>
        <v>220</v>
      </c>
      <c r="AO27" s="8" t="str">
        <f t="shared" si="25"/>
        <v/>
      </c>
      <c r="AP27" s="7">
        <f t="shared" si="26"/>
        <v>320069.64</v>
      </c>
      <c r="AQ27" s="7">
        <f t="shared" si="27"/>
        <v>439640</v>
      </c>
      <c r="AR27" s="7">
        <f t="shared" si="28"/>
        <v>-119570.35999999999</v>
      </c>
      <c r="AS27" s="8">
        <f t="shared" si="29"/>
        <v>0.72802665817487033</v>
      </c>
    </row>
    <row r="28" spans="1:45" x14ac:dyDescent="0.2">
      <c r="A28" s="3" t="s">
        <v>36</v>
      </c>
      <c r="B28" s="4"/>
      <c r="C28" s="4"/>
      <c r="D28" s="5">
        <f t="shared" si="0"/>
        <v>0</v>
      </c>
      <c r="E28" s="6" t="str">
        <f t="shared" si="1"/>
        <v/>
      </c>
      <c r="F28" s="4"/>
      <c r="G28" s="4"/>
      <c r="H28" s="5">
        <f t="shared" si="2"/>
        <v>0</v>
      </c>
      <c r="I28" s="6" t="str">
        <f t="shared" si="3"/>
        <v/>
      </c>
      <c r="J28" s="5">
        <f t="shared" si="4"/>
        <v>0</v>
      </c>
      <c r="K28" s="5">
        <f t="shared" si="5"/>
        <v>0</v>
      </c>
      <c r="L28" s="5">
        <f t="shared" si="6"/>
        <v>0</v>
      </c>
      <c r="M28" s="6" t="str">
        <f t="shared" si="7"/>
        <v/>
      </c>
      <c r="N28" s="4"/>
      <c r="O28" s="4"/>
      <c r="P28" s="5">
        <f t="shared" si="8"/>
        <v>0</v>
      </c>
      <c r="Q28" s="6" t="str">
        <f t="shared" si="9"/>
        <v/>
      </c>
      <c r="R28" s="4"/>
      <c r="S28" s="4"/>
      <c r="T28" s="5">
        <f t="shared" si="10"/>
        <v>0</v>
      </c>
      <c r="U28" s="6" t="str">
        <f t="shared" si="11"/>
        <v/>
      </c>
      <c r="V28" s="5">
        <f t="shared" si="12"/>
        <v>0</v>
      </c>
      <c r="W28" s="5">
        <f t="shared" si="13"/>
        <v>0</v>
      </c>
      <c r="X28" s="5">
        <f t="shared" si="14"/>
        <v>0</v>
      </c>
      <c r="Y28" s="6" t="str">
        <f t="shared" si="15"/>
        <v/>
      </c>
      <c r="Z28" s="4"/>
      <c r="AA28" s="4"/>
      <c r="AB28" s="5">
        <f t="shared" si="16"/>
        <v>0</v>
      </c>
      <c r="AC28" s="6" t="str">
        <f t="shared" si="17"/>
        <v/>
      </c>
      <c r="AD28" s="4"/>
      <c r="AE28" s="4"/>
      <c r="AF28" s="5">
        <f t="shared" si="18"/>
        <v>0</v>
      </c>
      <c r="AG28" s="6" t="str">
        <f t="shared" si="19"/>
        <v/>
      </c>
      <c r="AH28" s="5">
        <f t="shared" si="20"/>
        <v>0</v>
      </c>
      <c r="AI28" s="5">
        <f t="shared" si="21"/>
        <v>0</v>
      </c>
      <c r="AJ28" s="5">
        <f t="shared" si="22"/>
        <v>0</v>
      </c>
      <c r="AK28" s="6" t="str">
        <f t="shared" si="23"/>
        <v/>
      </c>
      <c r="AL28" s="4"/>
      <c r="AM28" s="4"/>
      <c r="AN28" s="5">
        <f t="shared" si="24"/>
        <v>0</v>
      </c>
      <c r="AO28" s="6" t="str">
        <f t="shared" si="25"/>
        <v/>
      </c>
      <c r="AP28" s="5">
        <f t="shared" si="26"/>
        <v>0</v>
      </c>
      <c r="AQ28" s="5">
        <f t="shared" si="27"/>
        <v>0</v>
      </c>
      <c r="AR28" s="5">
        <f t="shared" si="28"/>
        <v>0</v>
      </c>
      <c r="AS28" s="6" t="str">
        <f t="shared" si="29"/>
        <v/>
      </c>
    </row>
    <row r="29" spans="1:45" x14ac:dyDescent="0.2">
      <c r="A29" s="3" t="s">
        <v>37</v>
      </c>
      <c r="B29" s="4"/>
      <c r="C29" s="4"/>
      <c r="D29" s="5">
        <f t="shared" si="0"/>
        <v>0</v>
      </c>
      <c r="E29" s="6" t="str">
        <f t="shared" si="1"/>
        <v/>
      </c>
      <c r="F29" s="4"/>
      <c r="G29" s="4"/>
      <c r="H29" s="5">
        <f t="shared" si="2"/>
        <v>0</v>
      </c>
      <c r="I29" s="6" t="str">
        <f t="shared" si="3"/>
        <v/>
      </c>
      <c r="J29" s="5">
        <f t="shared" si="4"/>
        <v>0</v>
      </c>
      <c r="K29" s="5">
        <f t="shared" si="5"/>
        <v>0</v>
      </c>
      <c r="L29" s="5">
        <f t="shared" si="6"/>
        <v>0</v>
      </c>
      <c r="M29" s="6" t="str">
        <f t="shared" si="7"/>
        <v/>
      </c>
      <c r="N29" s="4"/>
      <c r="O29" s="4"/>
      <c r="P29" s="5">
        <f t="shared" si="8"/>
        <v>0</v>
      </c>
      <c r="Q29" s="6" t="str">
        <f t="shared" si="9"/>
        <v/>
      </c>
      <c r="R29" s="4"/>
      <c r="S29" s="4"/>
      <c r="T29" s="5">
        <f t="shared" si="10"/>
        <v>0</v>
      </c>
      <c r="U29" s="6" t="str">
        <f t="shared" si="11"/>
        <v/>
      </c>
      <c r="V29" s="5">
        <f t="shared" si="12"/>
        <v>0</v>
      </c>
      <c r="W29" s="5">
        <f t="shared" si="13"/>
        <v>0</v>
      </c>
      <c r="X29" s="5">
        <f t="shared" si="14"/>
        <v>0</v>
      </c>
      <c r="Y29" s="6" t="str">
        <f t="shared" si="15"/>
        <v/>
      </c>
      <c r="Z29" s="4"/>
      <c r="AA29" s="4"/>
      <c r="AB29" s="5">
        <f t="shared" si="16"/>
        <v>0</v>
      </c>
      <c r="AC29" s="6" t="str">
        <f t="shared" si="17"/>
        <v/>
      </c>
      <c r="AD29" s="4"/>
      <c r="AE29" s="4"/>
      <c r="AF29" s="5">
        <f t="shared" si="18"/>
        <v>0</v>
      </c>
      <c r="AG29" s="6" t="str">
        <f t="shared" si="19"/>
        <v/>
      </c>
      <c r="AH29" s="5">
        <f t="shared" si="20"/>
        <v>0</v>
      </c>
      <c r="AI29" s="5">
        <f t="shared" si="21"/>
        <v>0</v>
      </c>
      <c r="AJ29" s="5">
        <f t="shared" si="22"/>
        <v>0</v>
      </c>
      <c r="AK29" s="6" t="str">
        <f t="shared" si="23"/>
        <v/>
      </c>
      <c r="AL29" s="4"/>
      <c r="AM29" s="4"/>
      <c r="AN29" s="5">
        <f t="shared" si="24"/>
        <v>0</v>
      </c>
      <c r="AO29" s="6" t="str">
        <f t="shared" si="25"/>
        <v/>
      </c>
      <c r="AP29" s="5">
        <f t="shared" si="26"/>
        <v>0</v>
      </c>
      <c r="AQ29" s="5">
        <f t="shared" si="27"/>
        <v>0</v>
      </c>
      <c r="AR29" s="5">
        <f t="shared" si="28"/>
        <v>0</v>
      </c>
      <c r="AS29" s="6" t="str">
        <f t="shared" si="29"/>
        <v/>
      </c>
    </row>
    <row r="30" spans="1:45" x14ac:dyDescent="0.2">
      <c r="A30" s="3" t="s">
        <v>38</v>
      </c>
      <c r="B30" s="4"/>
      <c r="C30" s="4"/>
      <c r="D30" s="5">
        <f t="shared" si="0"/>
        <v>0</v>
      </c>
      <c r="E30" s="6" t="str">
        <f t="shared" si="1"/>
        <v/>
      </c>
      <c r="F30" s="4"/>
      <c r="G30" s="4"/>
      <c r="H30" s="5">
        <f t="shared" si="2"/>
        <v>0</v>
      </c>
      <c r="I30" s="6" t="str">
        <f t="shared" si="3"/>
        <v/>
      </c>
      <c r="J30" s="5">
        <f t="shared" si="4"/>
        <v>0</v>
      </c>
      <c r="K30" s="5">
        <f t="shared" si="5"/>
        <v>0</v>
      </c>
      <c r="L30" s="5">
        <f t="shared" si="6"/>
        <v>0</v>
      </c>
      <c r="M30" s="6" t="str">
        <f t="shared" si="7"/>
        <v/>
      </c>
      <c r="N30" s="5">
        <f>104066.26</f>
        <v>104066.26</v>
      </c>
      <c r="O30" s="5">
        <f>267960</f>
        <v>267960</v>
      </c>
      <c r="P30" s="5">
        <f t="shared" si="8"/>
        <v>-163893.74</v>
      </c>
      <c r="Q30" s="6">
        <f t="shared" si="9"/>
        <v>0.38836490520973277</v>
      </c>
      <c r="R30" s="5">
        <f>29247.75</f>
        <v>29247.75</v>
      </c>
      <c r="S30" s="4"/>
      <c r="T30" s="5">
        <f t="shared" si="10"/>
        <v>29247.75</v>
      </c>
      <c r="U30" s="6" t="str">
        <f t="shared" si="11"/>
        <v/>
      </c>
      <c r="V30" s="5">
        <f t="shared" si="12"/>
        <v>133314.01</v>
      </c>
      <c r="W30" s="5">
        <f t="shared" si="13"/>
        <v>267960</v>
      </c>
      <c r="X30" s="5">
        <f t="shared" si="14"/>
        <v>-134645.99</v>
      </c>
      <c r="Y30" s="6">
        <f t="shared" si="15"/>
        <v>0.49751459173010898</v>
      </c>
      <c r="Z30" s="4"/>
      <c r="AA30" s="4"/>
      <c r="AB30" s="5">
        <f t="shared" si="16"/>
        <v>0</v>
      </c>
      <c r="AC30" s="6" t="str">
        <f t="shared" si="17"/>
        <v/>
      </c>
      <c r="AD30" s="4"/>
      <c r="AE30" s="4"/>
      <c r="AF30" s="5">
        <f t="shared" si="18"/>
        <v>0</v>
      </c>
      <c r="AG30" s="6" t="str">
        <f t="shared" si="19"/>
        <v/>
      </c>
      <c r="AH30" s="5">
        <f t="shared" si="20"/>
        <v>0</v>
      </c>
      <c r="AI30" s="5">
        <f t="shared" si="21"/>
        <v>0</v>
      </c>
      <c r="AJ30" s="5">
        <f t="shared" si="22"/>
        <v>0</v>
      </c>
      <c r="AK30" s="6" t="str">
        <f t="shared" si="23"/>
        <v/>
      </c>
      <c r="AL30" s="5">
        <f>34099.77</f>
        <v>34099.769999999997</v>
      </c>
      <c r="AM30" s="4"/>
      <c r="AN30" s="5">
        <f t="shared" si="24"/>
        <v>34099.769999999997</v>
      </c>
      <c r="AO30" s="6" t="str">
        <f t="shared" si="25"/>
        <v/>
      </c>
      <c r="AP30" s="5">
        <f t="shared" si="26"/>
        <v>167413.78</v>
      </c>
      <c r="AQ30" s="5">
        <f t="shared" si="27"/>
        <v>267960</v>
      </c>
      <c r="AR30" s="5">
        <f t="shared" si="28"/>
        <v>-100546.22</v>
      </c>
      <c r="AS30" s="6">
        <f t="shared" si="29"/>
        <v>0.62477153306463651</v>
      </c>
    </row>
    <row r="31" spans="1:45" x14ac:dyDescent="0.2">
      <c r="A31" s="3" t="s">
        <v>39</v>
      </c>
      <c r="B31" s="4"/>
      <c r="C31" s="4"/>
      <c r="D31" s="5">
        <f t="shared" si="0"/>
        <v>0</v>
      </c>
      <c r="E31" s="6" t="str">
        <f t="shared" si="1"/>
        <v/>
      </c>
      <c r="F31" s="4"/>
      <c r="G31" s="4"/>
      <c r="H31" s="5">
        <f t="shared" si="2"/>
        <v>0</v>
      </c>
      <c r="I31" s="6" t="str">
        <f t="shared" si="3"/>
        <v/>
      </c>
      <c r="J31" s="5">
        <f t="shared" si="4"/>
        <v>0</v>
      </c>
      <c r="K31" s="5">
        <f t="shared" si="5"/>
        <v>0</v>
      </c>
      <c r="L31" s="5">
        <f t="shared" si="6"/>
        <v>0</v>
      </c>
      <c r="M31" s="6" t="str">
        <f t="shared" si="7"/>
        <v/>
      </c>
      <c r="N31" s="5">
        <f>91.98</f>
        <v>91.98</v>
      </c>
      <c r="O31" s="4"/>
      <c r="P31" s="5">
        <f t="shared" si="8"/>
        <v>91.98</v>
      </c>
      <c r="Q31" s="6" t="str">
        <f t="shared" si="9"/>
        <v/>
      </c>
      <c r="R31" s="5">
        <f>326.28</f>
        <v>326.27999999999997</v>
      </c>
      <c r="S31" s="4"/>
      <c r="T31" s="5">
        <f t="shared" si="10"/>
        <v>326.27999999999997</v>
      </c>
      <c r="U31" s="6" t="str">
        <f t="shared" si="11"/>
        <v/>
      </c>
      <c r="V31" s="5">
        <f t="shared" si="12"/>
        <v>418.26</v>
      </c>
      <c r="W31" s="5">
        <f t="shared" si="13"/>
        <v>0</v>
      </c>
      <c r="X31" s="5">
        <f t="shared" si="14"/>
        <v>418.26</v>
      </c>
      <c r="Y31" s="6" t="str">
        <f t="shared" si="15"/>
        <v/>
      </c>
      <c r="Z31" s="4"/>
      <c r="AA31" s="4"/>
      <c r="AB31" s="5">
        <f t="shared" si="16"/>
        <v>0</v>
      </c>
      <c r="AC31" s="6" t="str">
        <f t="shared" si="17"/>
        <v/>
      </c>
      <c r="AD31" s="4"/>
      <c r="AE31" s="4"/>
      <c r="AF31" s="5">
        <f t="shared" si="18"/>
        <v>0</v>
      </c>
      <c r="AG31" s="6" t="str">
        <f t="shared" si="19"/>
        <v/>
      </c>
      <c r="AH31" s="5">
        <f t="shared" si="20"/>
        <v>0</v>
      </c>
      <c r="AI31" s="5">
        <f t="shared" si="21"/>
        <v>0</v>
      </c>
      <c r="AJ31" s="5">
        <f t="shared" si="22"/>
        <v>0</v>
      </c>
      <c r="AK31" s="6" t="str">
        <f t="shared" si="23"/>
        <v/>
      </c>
      <c r="AL31" s="4"/>
      <c r="AM31" s="4"/>
      <c r="AN31" s="5">
        <f t="shared" si="24"/>
        <v>0</v>
      </c>
      <c r="AO31" s="6" t="str">
        <f t="shared" si="25"/>
        <v/>
      </c>
      <c r="AP31" s="5">
        <f t="shared" si="26"/>
        <v>418.26</v>
      </c>
      <c r="AQ31" s="5">
        <f t="shared" si="27"/>
        <v>0</v>
      </c>
      <c r="AR31" s="5">
        <f t="shared" si="28"/>
        <v>418.26</v>
      </c>
      <c r="AS31" s="6" t="str">
        <f t="shared" si="29"/>
        <v/>
      </c>
    </row>
    <row r="32" spans="1:45" x14ac:dyDescent="0.2">
      <c r="A32" s="3" t="s">
        <v>40</v>
      </c>
      <c r="B32" s="7">
        <f>((B29)+(B30))+(B31)</f>
        <v>0</v>
      </c>
      <c r="C32" s="7">
        <f>((C29)+(C30))+(C31)</f>
        <v>0</v>
      </c>
      <c r="D32" s="7">
        <f t="shared" si="0"/>
        <v>0</v>
      </c>
      <c r="E32" s="8" t="str">
        <f t="shared" si="1"/>
        <v/>
      </c>
      <c r="F32" s="7">
        <f>((F29)+(F30))+(F31)</f>
        <v>0</v>
      </c>
      <c r="G32" s="7">
        <f>((G29)+(G30))+(G31)</f>
        <v>0</v>
      </c>
      <c r="H32" s="7">
        <f t="shared" si="2"/>
        <v>0</v>
      </c>
      <c r="I32" s="8" t="str">
        <f t="shared" si="3"/>
        <v/>
      </c>
      <c r="J32" s="7">
        <f t="shared" si="4"/>
        <v>0</v>
      </c>
      <c r="K32" s="7">
        <f t="shared" si="5"/>
        <v>0</v>
      </c>
      <c r="L32" s="7">
        <f t="shared" si="6"/>
        <v>0</v>
      </c>
      <c r="M32" s="8" t="str">
        <f t="shared" si="7"/>
        <v/>
      </c>
      <c r="N32" s="7">
        <f>((N29)+(N30))+(N31)</f>
        <v>104158.23999999999</v>
      </c>
      <c r="O32" s="7">
        <f>((O29)+(O30))+(O31)</f>
        <v>267960</v>
      </c>
      <c r="P32" s="7">
        <f t="shared" si="8"/>
        <v>-163801.76</v>
      </c>
      <c r="Q32" s="8">
        <f t="shared" si="9"/>
        <v>0.38870816539782055</v>
      </c>
      <c r="R32" s="7">
        <f>((R29)+(R30))+(R31)</f>
        <v>29574.03</v>
      </c>
      <c r="S32" s="7">
        <f>((S29)+(S30))+(S31)</f>
        <v>0</v>
      </c>
      <c r="T32" s="7">
        <f t="shared" si="10"/>
        <v>29574.03</v>
      </c>
      <c r="U32" s="8" t="str">
        <f t="shared" si="11"/>
        <v/>
      </c>
      <c r="V32" s="7">
        <f t="shared" si="12"/>
        <v>133732.26999999999</v>
      </c>
      <c r="W32" s="7">
        <f t="shared" si="13"/>
        <v>267960</v>
      </c>
      <c r="X32" s="7">
        <f t="shared" si="14"/>
        <v>-134227.73000000001</v>
      </c>
      <c r="Y32" s="8">
        <f t="shared" si="15"/>
        <v>0.49907549634273768</v>
      </c>
      <c r="Z32" s="7">
        <f>((Z29)+(Z30))+(Z31)</f>
        <v>0</v>
      </c>
      <c r="AA32" s="7">
        <f>((AA29)+(AA30))+(AA31)</f>
        <v>0</v>
      </c>
      <c r="AB32" s="7">
        <f t="shared" si="16"/>
        <v>0</v>
      </c>
      <c r="AC32" s="8" t="str">
        <f t="shared" si="17"/>
        <v/>
      </c>
      <c r="AD32" s="7">
        <f>((AD29)+(AD30))+(AD31)</f>
        <v>0</v>
      </c>
      <c r="AE32" s="7">
        <f>((AE29)+(AE30))+(AE31)</f>
        <v>0</v>
      </c>
      <c r="AF32" s="7">
        <f t="shared" si="18"/>
        <v>0</v>
      </c>
      <c r="AG32" s="8" t="str">
        <f t="shared" si="19"/>
        <v/>
      </c>
      <c r="AH32" s="7">
        <f t="shared" si="20"/>
        <v>0</v>
      </c>
      <c r="AI32" s="7">
        <f t="shared" si="21"/>
        <v>0</v>
      </c>
      <c r="AJ32" s="7">
        <f t="shared" si="22"/>
        <v>0</v>
      </c>
      <c r="AK32" s="8" t="str">
        <f t="shared" si="23"/>
        <v/>
      </c>
      <c r="AL32" s="7">
        <f>((AL29)+(AL30))+(AL31)</f>
        <v>34099.769999999997</v>
      </c>
      <c r="AM32" s="7">
        <f>((AM29)+(AM30))+(AM31)</f>
        <v>0</v>
      </c>
      <c r="AN32" s="7">
        <f t="shared" si="24"/>
        <v>34099.769999999997</v>
      </c>
      <c r="AO32" s="8" t="str">
        <f t="shared" si="25"/>
        <v/>
      </c>
      <c r="AP32" s="7">
        <f t="shared" si="26"/>
        <v>167832.03999999998</v>
      </c>
      <c r="AQ32" s="7">
        <f t="shared" si="27"/>
        <v>267960</v>
      </c>
      <c r="AR32" s="7">
        <f t="shared" si="28"/>
        <v>-100127.96000000002</v>
      </c>
      <c r="AS32" s="8">
        <f t="shared" si="29"/>
        <v>0.62633243767726521</v>
      </c>
    </row>
    <row r="33" spans="1:45" x14ac:dyDescent="0.2">
      <c r="A33" s="3" t="s">
        <v>41</v>
      </c>
      <c r="B33" s="4"/>
      <c r="C33" s="4"/>
      <c r="D33" s="5">
        <f t="shared" si="0"/>
        <v>0</v>
      </c>
      <c r="E33" s="6" t="str">
        <f t="shared" si="1"/>
        <v/>
      </c>
      <c r="F33" s="4"/>
      <c r="G33" s="4"/>
      <c r="H33" s="5">
        <f t="shared" si="2"/>
        <v>0</v>
      </c>
      <c r="I33" s="6" t="str">
        <f t="shared" si="3"/>
        <v/>
      </c>
      <c r="J33" s="5">
        <f t="shared" si="4"/>
        <v>0</v>
      </c>
      <c r="K33" s="5">
        <f t="shared" si="5"/>
        <v>0</v>
      </c>
      <c r="L33" s="5">
        <f t="shared" si="6"/>
        <v>0</v>
      </c>
      <c r="M33" s="6" t="str">
        <f t="shared" si="7"/>
        <v/>
      </c>
      <c r="N33" s="4"/>
      <c r="O33" s="4"/>
      <c r="P33" s="5">
        <f t="shared" si="8"/>
        <v>0</v>
      </c>
      <c r="Q33" s="6" t="str">
        <f t="shared" si="9"/>
        <v/>
      </c>
      <c r="R33" s="4"/>
      <c r="S33" s="4"/>
      <c r="T33" s="5">
        <f t="shared" si="10"/>
        <v>0</v>
      </c>
      <c r="U33" s="6" t="str">
        <f t="shared" si="11"/>
        <v/>
      </c>
      <c r="V33" s="5">
        <f t="shared" si="12"/>
        <v>0</v>
      </c>
      <c r="W33" s="5">
        <f t="shared" si="13"/>
        <v>0</v>
      </c>
      <c r="X33" s="5">
        <f t="shared" si="14"/>
        <v>0</v>
      </c>
      <c r="Y33" s="6" t="str">
        <f t="shared" si="15"/>
        <v/>
      </c>
      <c r="Z33" s="4"/>
      <c r="AA33" s="4"/>
      <c r="AB33" s="5">
        <f t="shared" si="16"/>
        <v>0</v>
      </c>
      <c r="AC33" s="6" t="str">
        <f t="shared" si="17"/>
        <v/>
      </c>
      <c r="AD33" s="4"/>
      <c r="AE33" s="4"/>
      <c r="AF33" s="5">
        <f t="shared" si="18"/>
        <v>0</v>
      </c>
      <c r="AG33" s="6" t="str">
        <f t="shared" si="19"/>
        <v/>
      </c>
      <c r="AH33" s="5">
        <f t="shared" si="20"/>
        <v>0</v>
      </c>
      <c r="AI33" s="5">
        <f t="shared" si="21"/>
        <v>0</v>
      </c>
      <c r="AJ33" s="5">
        <f t="shared" si="22"/>
        <v>0</v>
      </c>
      <c r="AK33" s="6" t="str">
        <f t="shared" si="23"/>
        <v/>
      </c>
      <c r="AL33" s="4"/>
      <c r="AM33" s="4"/>
      <c r="AN33" s="5">
        <f t="shared" si="24"/>
        <v>0</v>
      </c>
      <c r="AO33" s="6" t="str">
        <f t="shared" si="25"/>
        <v/>
      </c>
      <c r="AP33" s="5">
        <f t="shared" si="26"/>
        <v>0</v>
      </c>
      <c r="AQ33" s="5">
        <f t="shared" si="27"/>
        <v>0</v>
      </c>
      <c r="AR33" s="5">
        <f t="shared" si="28"/>
        <v>0</v>
      </c>
      <c r="AS33" s="6" t="str">
        <f t="shared" si="29"/>
        <v/>
      </c>
    </row>
    <row r="34" spans="1:45" x14ac:dyDescent="0.2">
      <c r="A34" s="3" t="s">
        <v>42</v>
      </c>
      <c r="B34" s="4"/>
      <c r="C34" s="4"/>
      <c r="D34" s="5">
        <f t="shared" si="0"/>
        <v>0</v>
      </c>
      <c r="E34" s="6" t="str">
        <f t="shared" si="1"/>
        <v/>
      </c>
      <c r="F34" s="4"/>
      <c r="G34" s="4"/>
      <c r="H34" s="5">
        <f t="shared" si="2"/>
        <v>0</v>
      </c>
      <c r="I34" s="6" t="str">
        <f t="shared" si="3"/>
        <v/>
      </c>
      <c r="J34" s="5">
        <f t="shared" si="4"/>
        <v>0</v>
      </c>
      <c r="K34" s="5">
        <f t="shared" si="5"/>
        <v>0</v>
      </c>
      <c r="L34" s="5">
        <f t="shared" si="6"/>
        <v>0</v>
      </c>
      <c r="M34" s="6" t="str">
        <f t="shared" si="7"/>
        <v/>
      </c>
      <c r="N34" s="5">
        <f>53.94</f>
        <v>53.94</v>
      </c>
      <c r="O34" s="4"/>
      <c r="P34" s="5">
        <f t="shared" si="8"/>
        <v>53.94</v>
      </c>
      <c r="Q34" s="6" t="str">
        <f t="shared" si="9"/>
        <v/>
      </c>
      <c r="R34" s="4"/>
      <c r="S34" s="4"/>
      <c r="T34" s="5">
        <f t="shared" si="10"/>
        <v>0</v>
      </c>
      <c r="U34" s="6" t="str">
        <f t="shared" si="11"/>
        <v/>
      </c>
      <c r="V34" s="5">
        <f t="shared" si="12"/>
        <v>53.94</v>
      </c>
      <c r="W34" s="5">
        <f t="shared" si="13"/>
        <v>0</v>
      </c>
      <c r="X34" s="5">
        <f t="shared" si="14"/>
        <v>53.94</v>
      </c>
      <c r="Y34" s="6" t="str">
        <f t="shared" si="15"/>
        <v/>
      </c>
      <c r="Z34" s="4"/>
      <c r="AA34" s="4"/>
      <c r="AB34" s="5">
        <f t="shared" si="16"/>
        <v>0</v>
      </c>
      <c r="AC34" s="6" t="str">
        <f t="shared" si="17"/>
        <v/>
      </c>
      <c r="AD34" s="4"/>
      <c r="AE34" s="4"/>
      <c r="AF34" s="5">
        <f t="shared" si="18"/>
        <v>0</v>
      </c>
      <c r="AG34" s="6" t="str">
        <f t="shared" si="19"/>
        <v/>
      </c>
      <c r="AH34" s="5">
        <f t="shared" si="20"/>
        <v>0</v>
      </c>
      <c r="AI34" s="5">
        <f t="shared" si="21"/>
        <v>0</v>
      </c>
      <c r="AJ34" s="5">
        <f t="shared" si="22"/>
        <v>0</v>
      </c>
      <c r="AK34" s="6" t="str">
        <f t="shared" si="23"/>
        <v/>
      </c>
      <c r="AL34" s="4"/>
      <c r="AM34" s="4"/>
      <c r="AN34" s="5">
        <f t="shared" si="24"/>
        <v>0</v>
      </c>
      <c r="AO34" s="6" t="str">
        <f t="shared" si="25"/>
        <v/>
      </c>
      <c r="AP34" s="5">
        <f t="shared" si="26"/>
        <v>53.94</v>
      </c>
      <c r="AQ34" s="5">
        <f t="shared" si="27"/>
        <v>0</v>
      </c>
      <c r="AR34" s="5">
        <f t="shared" si="28"/>
        <v>53.94</v>
      </c>
      <c r="AS34" s="6" t="str">
        <f t="shared" si="29"/>
        <v/>
      </c>
    </row>
    <row r="35" spans="1:45" ht="25" x14ac:dyDescent="0.2">
      <c r="A35" s="3" t="s">
        <v>43</v>
      </c>
      <c r="B35" s="7">
        <f>(B33)+(B34)</f>
        <v>0</v>
      </c>
      <c r="C35" s="7">
        <f>(C33)+(C34)</f>
        <v>0</v>
      </c>
      <c r="D35" s="7">
        <f t="shared" si="0"/>
        <v>0</v>
      </c>
      <c r="E35" s="8" t="str">
        <f t="shared" si="1"/>
        <v/>
      </c>
      <c r="F35" s="7">
        <f>(F33)+(F34)</f>
        <v>0</v>
      </c>
      <c r="G35" s="7">
        <f>(G33)+(G34)</f>
        <v>0</v>
      </c>
      <c r="H35" s="7">
        <f t="shared" si="2"/>
        <v>0</v>
      </c>
      <c r="I35" s="8" t="str">
        <f t="shared" si="3"/>
        <v/>
      </c>
      <c r="J35" s="7">
        <f t="shared" si="4"/>
        <v>0</v>
      </c>
      <c r="K35" s="7">
        <f t="shared" si="5"/>
        <v>0</v>
      </c>
      <c r="L35" s="7">
        <f t="shared" si="6"/>
        <v>0</v>
      </c>
      <c r="M35" s="8" t="str">
        <f t="shared" si="7"/>
        <v/>
      </c>
      <c r="N35" s="7">
        <f>(N33)+(N34)</f>
        <v>53.94</v>
      </c>
      <c r="O35" s="7">
        <f>(O33)+(O34)</f>
        <v>0</v>
      </c>
      <c r="P35" s="7">
        <f t="shared" si="8"/>
        <v>53.94</v>
      </c>
      <c r="Q35" s="8" t="str">
        <f t="shared" si="9"/>
        <v/>
      </c>
      <c r="R35" s="7">
        <f>(R33)+(R34)</f>
        <v>0</v>
      </c>
      <c r="S35" s="7">
        <f>(S33)+(S34)</f>
        <v>0</v>
      </c>
      <c r="T35" s="7">
        <f t="shared" si="10"/>
        <v>0</v>
      </c>
      <c r="U35" s="8" t="str">
        <f t="shared" si="11"/>
        <v/>
      </c>
      <c r="V35" s="7">
        <f t="shared" si="12"/>
        <v>53.94</v>
      </c>
      <c r="W35" s="7">
        <f t="shared" si="13"/>
        <v>0</v>
      </c>
      <c r="X35" s="7">
        <f t="shared" si="14"/>
        <v>53.94</v>
      </c>
      <c r="Y35" s="8" t="str">
        <f t="shared" si="15"/>
        <v/>
      </c>
      <c r="Z35" s="7">
        <f>(Z33)+(Z34)</f>
        <v>0</v>
      </c>
      <c r="AA35" s="7">
        <f>(AA33)+(AA34)</f>
        <v>0</v>
      </c>
      <c r="AB35" s="7">
        <f t="shared" si="16"/>
        <v>0</v>
      </c>
      <c r="AC35" s="8" t="str">
        <f t="shared" si="17"/>
        <v/>
      </c>
      <c r="AD35" s="7">
        <f>(AD33)+(AD34)</f>
        <v>0</v>
      </c>
      <c r="AE35" s="7">
        <f>(AE33)+(AE34)</f>
        <v>0</v>
      </c>
      <c r="AF35" s="7">
        <f t="shared" si="18"/>
        <v>0</v>
      </c>
      <c r="AG35" s="8" t="str">
        <f t="shared" si="19"/>
        <v/>
      </c>
      <c r="AH35" s="7">
        <f t="shared" si="20"/>
        <v>0</v>
      </c>
      <c r="AI35" s="7">
        <f t="shared" si="21"/>
        <v>0</v>
      </c>
      <c r="AJ35" s="7">
        <f t="shared" si="22"/>
        <v>0</v>
      </c>
      <c r="AK35" s="8" t="str">
        <f t="shared" si="23"/>
        <v/>
      </c>
      <c r="AL35" s="7">
        <f>(AL33)+(AL34)</f>
        <v>0</v>
      </c>
      <c r="AM35" s="7">
        <f>(AM33)+(AM34)</f>
        <v>0</v>
      </c>
      <c r="AN35" s="7">
        <f t="shared" si="24"/>
        <v>0</v>
      </c>
      <c r="AO35" s="8" t="str">
        <f t="shared" si="25"/>
        <v/>
      </c>
      <c r="AP35" s="7">
        <f t="shared" si="26"/>
        <v>53.94</v>
      </c>
      <c r="AQ35" s="7">
        <f t="shared" si="27"/>
        <v>0</v>
      </c>
      <c r="AR35" s="7">
        <f t="shared" si="28"/>
        <v>53.94</v>
      </c>
      <c r="AS35" s="8" t="str">
        <f t="shared" si="29"/>
        <v/>
      </c>
    </row>
    <row r="36" spans="1:45" x14ac:dyDescent="0.2">
      <c r="A36" s="3" t="s">
        <v>44</v>
      </c>
      <c r="B36" s="7">
        <f>((B28)+(B32))+(B35)</f>
        <v>0</v>
      </c>
      <c r="C36" s="7">
        <f>((C28)+(C32))+(C35)</f>
        <v>0</v>
      </c>
      <c r="D36" s="7">
        <f t="shared" si="0"/>
        <v>0</v>
      </c>
      <c r="E36" s="8" t="str">
        <f t="shared" si="1"/>
        <v/>
      </c>
      <c r="F36" s="7">
        <f>((F28)+(F32))+(F35)</f>
        <v>0</v>
      </c>
      <c r="G36" s="7">
        <f>((G28)+(G32))+(G35)</f>
        <v>0</v>
      </c>
      <c r="H36" s="7">
        <f t="shared" si="2"/>
        <v>0</v>
      </c>
      <c r="I36" s="8" t="str">
        <f t="shared" si="3"/>
        <v/>
      </c>
      <c r="J36" s="7">
        <f t="shared" si="4"/>
        <v>0</v>
      </c>
      <c r="K36" s="7">
        <f t="shared" si="5"/>
        <v>0</v>
      </c>
      <c r="L36" s="7">
        <f t="shared" si="6"/>
        <v>0</v>
      </c>
      <c r="M36" s="8" t="str">
        <f t="shared" si="7"/>
        <v/>
      </c>
      <c r="N36" s="7">
        <f>((N28)+(N32))+(N35)</f>
        <v>104212.18</v>
      </c>
      <c r="O36" s="7">
        <f>((O28)+(O32))+(O35)</f>
        <v>267960</v>
      </c>
      <c r="P36" s="7">
        <f t="shared" si="8"/>
        <v>-163747.82</v>
      </c>
      <c r="Q36" s="8">
        <f t="shared" si="9"/>
        <v>0.38890946409911925</v>
      </c>
      <c r="R36" s="7">
        <f>((R28)+(R32))+(R35)</f>
        <v>29574.03</v>
      </c>
      <c r="S36" s="7">
        <f>((S28)+(S32))+(S35)</f>
        <v>0</v>
      </c>
      <c r="T36" s="7">
        <f t="shared" si="10"/>
        <v>29574.03</v>
      </c>
      <c r="U36" s="8" t="str">
        <f t="shared" si="11"/>
        <v/>
      </c>
      <c r="V36" s="7">
        <f t="shared" si="12"/>
        <v>133786.21</v>
      </c>
      <c r="W36" s="7">
        <f t="shared" si="13"/>
        <v>267960</v>
      </c>
      <c r="X36" s="7">
        <f t="shared" si="14"/>
        <v>-134173.79</v>
      </c>
      <c r="Y36" s="8">
        <f t="shared" si="15"/>
        <v>0.49927679504403638</v>
      </c>
      <c r="Z36" s="7">
        <f>((Z28)+(Z32))+(Z35)</f>
        <v>0</v>
      </c>
      <c r="AA36" s="7">
        <f>((AA28)+(AA32))+(AA35)</f>
        <v>0</v>
      </c>
      <c r="AB36" s="7">
        <f t="shared" si="16"/>
        <v>0</v>
      </c>
      <c r="AC36" s="8" t="str">
        <f t="shared" si="17"/>
        <v/>
      </c>
      <c r="AD36" s="7">
        <f>((AD28)+(AD32))+(AD35)</f>
        <v>0</v>
      </c>
      <c r="AE36" s="7">
        <f>((AE28)+(AE32))+(AE35)</f>
        <v>0</v>
      </c>
      <c r="AF36" s="7">
        <f t="shared" si="18"/>
        <v>0</v>
      </c>
      <c r="AG36" s="8" t="str">
        <f t="shared" si="19"/>
        <v/>
      </c>
      <c r="AH36" s="7">
        <f t="shared" si="20"/>
        <v>0</v>
      </c>
      <c r="AI36" s="7">
        <f t="shared" si="21"/>
        <v>0</v>
      </c>
      <c r="AJ36" s="7">
        <f t="shared" si="22"/>
        <v>0</v>
      </c>
      <c r="AK36" s="8" t="str">
        <f t="shared" si="23"/>
        <v/>
      </c>
      <c r="AL36" s="7">
        <f>((AL28)+(AL32))+(AL35)</f>
        <v>34099.769999999997</v>
      </c>
      <c r="AM36" s="7">
        <f>((AM28)+(AM32))+(AM35)</f>
        <v>0</v>
      </c>
      <c r="AN36" s="7">
        <f t="shared" si="24"/>
        <v>34099.769999999997</v>
      </c>
      <c r="AO36" s="8" t="str">
        <f t="shared" si="25"/>
        <v/>
      </c>
      <c r="AP36" s="7">
        <f t="shared" si="26"/>
        <v>167885.97999999998</v>
      </c>
      <c r="AQ36" s="7">
        <f t="shared" si="27"/>
        <v>267960</v>
      </c>
      <c r="AR36" s="7">
        <f t="shared" si="28"/>
        <v>-100074.02000000002</v>
      </c>
      <c r="AS36" s="8">
        <f t="shared" si="29"/>
        <v>0.62653373637856391</v>
      </c>
    </row>
    <row r="37" spans="1:45" x14ac:dyDescent="0.2">
      <c r="A37" s="3" t="s">
        <v>45</v>
      </c>
      <c r="B37" s="4"/>
      <c r="C37" s="4"/>
      <c r="D37" s="5">
        <f t="shared" si="0"/>
        <v>0</v>
      </c>
      <c r="E37" s="6" t="str">
        <f t="shared" si="1"/>
        <v/>
      </c>
      <c r="F37" s="4"/>
      <c r="G37" s="4"/>
      <c r="H37" s="5">
        <f t="shared" si="2"/>
        <v>0</v>
      </c>
      <c r="I37" s="6" t="str">
        <f t="shared" si="3"/>
        <v/>
      </c>
      <c r="J37" s="5">
        <f t="shared" si="4"/>
        <v>0</v>
      </c>
      <c r="K37" s="5">
        <f t="shared" si="5"/>
        <v>0</v>
      </c>
      <c r="L37" s="5">
        <f t="shared" si="6"/>
        <v>0</v>
      </c>
      <c r="M37" s="6" t="str">
        <f t="shared" si="7"/>
        <v/>
      </c>
      <c r="N37" s="4"/>
      <c r="O37" s="4"/>
      <c r="P37" s="5">
        <f t="shared" si="8"/>
        <v>0</v>
      </c>
      <c r="Q37" s="6" t="str">
        <f t="shared" si="9"/>
        <v/>
      </c>
      <c r="R37" s="4"/>
      <c r="S37" s="4"/>
      <c r="T37" s="5">
        <f t="shared" si="10"/>
        <v>0</v>
      </c>
      <c r="U37" s="6" t="str">
        <f t="shared" si="11"/>
        <v/>
      </c>
      <c r="V37" s="5">
        <f t="shared" si="12"/>
        <v>0</v>
      </c>
      <c r="W37" s="5">
        <f t="shared" si="13"/>
        <v>0</v>
      </c>
      <c r="X37" s="5">
        <f t="shared" si="14"/>
        <v>0</v>
      </c>
      <c r="Y37" s="6" t="str">
        <f t="shared" si="15"/>
        <v/>
      </c>
      <c r="Z37" s="4"/>
      <c r="AA37" s="4"/>
      <c r="AB37" s="5">
        <f t="shared" si="16"/>
        <v>0</v>
      </c>
      <c r="AC37" s="6" t="str">
        <f t="shared" si="17"/>
        <v/>
      </c>
      <c r="AD37" s="4"/>
      <c r="AE37" s="4"/>
      <c r="AF37" s="5">
        <f t="shared" si="18"/>
        <v>0</v>
      </c>
      <c r="AG37" s="6" t="str">
        <f t="shared" si="19"/>
        <v/>
      </c>
      <c r="AH37" s="5">
        <f t="shared" si="20"/>
        <v>0</v>
      </c>
      <c r="AI37" s="5">
        <f t="shared" si="21"/>
        <v>0</v>
      </c>
      <c r="AJ37" s="5">
        <f t="shared" si="22"/>
        <v>0</v>
      </c>
      <c r="AK37" s="6" t="str">
        <f t="shared" si="23"/>
        <v/>
      </c>
      <c r="AL37" s="4"/>
      <c r="AM37" s="4"/>
      <c r="AN37" s="5">
        <f t="shared" si="24"/>
        <v>0</v>
      </c>
      <c r="AO37" s="6" t="str">
        <f t="shared" si="25"/>
        <v/>
      </c>
      <c r="AP37" s="5">
        <f t="shared" si="26"/>
        <v>0</v>
      </c>
      <c r="AQ37" s="5">
        <f t="shared" si="27"/>
        <v>0</v>
      </c>
      <c r="AR37" s="5">
        <f t="shared" si="28"/>
        <v>0</v>
      </c>
      <c r="AS37" s="6" t="str">
        <f t="shared" si="29"/>
        <v/>
      </c>
    </row>
    <row r="38" spans="1:45" x14ac:dyDescent="0.2">
      <c r="A38" s="3" t="s">
        <v>46</v>
      </c>
      <c r="B38" s="4"/>
      <c r="C38" s="4"/>
      <c r="D38" s="5">
        <f t="shared" si="0"/>
        <v>0</v>
      </c>
      <c r="E38" s="6" t="str">
        <f t="shared" si="1"/>
        <v/>
      </c>
      <c r="F38" s="4"/>
      <c r="G38" s="4"/>
      <c r="H38" s="5">
        <f t="shared" si="2"/>
        <v>0</v>
      </c>
      <c r="I38" s="6" t="str">
        <f t="shared" si="3"/>
        <v/>
      </c>
      <c r="J38" s="5">
        <f t="shared" si="4"/>
        <v>0</v>
      </c>
      <c r="K38" s="5">
        <f t="shared" si="5"/>
        <v>0</v>
      </c>
      <c r="L38" s="5">
        <f t="shared" si="6"/>
        <v>0</v>
      </c>
      <c r="M38" s="6" t="str">
        <f t="shared" si="7"/>
        <v/>
      </c>
      <c r="N38" s="4"/>
      <c r="O38" s="4"/>
      <c r="P38" s="5">
        <f t="shared" si="8"/>
        <v>0</v>
      </c>
      <c r="Q38" s="6" t="str">
        <f t="shared" si="9"/>
        <v/>
      </c>
      <c r="R38" s="4"/>
      <c r="S38" s="4"/>
      <c r="T38" s="5">
        <f t="shared" si="10"/>
        <v>0</v>
      </c>
      <c r="U38" s="6" t="str">
        <f t="shared" si="11"/>
        <v/>
      </c>
      <c r="V38" s="5">
        <f t="shared" si="12"/>
        <v>0</v>
      </c>
      <c r="W38" s="5">
        <f t="shared" si="13"/>
        <v>0</v>
      </c>
      <c r="X38" s="5">
        <f t="shared" si="14"/>
        <v>0</v>
      </c>
      <c r="Y38" s="6" t="str">
        <f t="shared" si="15"/>
        <v/>
      </c>
      <c r="Z38" s="4"/>
      <c r="AA38" s="4"/>
      <c r="AB38" s="5">
        <f t="shared" si="16"/>
        <v>0</v>
      </c>
      <c r="AC38" s="6" t="str">
        <f t="shared" si="17"/>
        <v/>
      </c>
      <c r="AD38" s="4"/>
      <c r="AE38" s="4"/>
      <c r="AF38" s="5">
        <f t="shared" si="18"/>
        <v>0</v>
      </c>
      <c r="AG38" s="6" t="str">
        <f t="shared" si="19"/>
        <v/>
      </c>
      <c r="AH38" s="5">
        <f t="shared" si="20"/>
        <v>0</v>
      </c>
      <c r="AI38" s="5">
        <f t="shared" si="21"/>
        <v>0</v>
      </c>
      <c r="AJ38" s="5">
        <f t="shared" si="22"/>
        <v>0</v>
      </c>
      <c r="AK38" s="6" t="str">
        <f t="shared" si="23"/>
        <v/>
      </c>
      <c r="AL38" s="4"/>
      <c r="AM38" s="4"/>
      <c r="AN38" s="5">
        <f t="shared" si="24"/>
        <v>0</v>
      </c>
      <c r="AO38" s="6" t="str">
        <f t="shared" si="25"/>
        <v/>
      </c>
      <c r="AP38" s="5">
        <f t="shared" si="26"/>
        <v>0</v>
      </c>
      <c r="AQ38" s="5">
        <f t="shared" si="27"/>
        <v>0</v>
      </c>
      <c r="AR38" s="5">
        <f t="shared" si="28"/>
        <v>0</v>
      </c>
      <c r="AS38" s="6" t="str">
        <f t="shared" si="29"/>
        <v/>
      </c>
    </row>
    <row r="39" spans="1:45" x14ac:dyDescent="0.2">
      <c r="A39" s="3" t="s">
        <v>47</v>
      </c>
      <c r="B39" s="4"/>
      <c r="C39" s="4"/>
      <c r="D39" s="5">
        <f t="shared" si="0"/>
        <v>0</v>
      </c>
      <c r="E39" s="6" t="str">
        <f t="shared" si="1"/>
        <v/>
      </c>
      <c r="F39" s="4"/>
      <c r="G39" s="4"/>
      <c r="H39" s="5">
        <f t="shared" si="2"/>
        <v>0</v>
      </c>
      <c r="I39" s="6" t="str">
        <f t="shared" si="3"/>
        <v/>
      </c>
      <c r="J39" s="5">
        <f t="shared" si="4"/>
        <v>0</v>
      </c>
      <c r="K39" s="5">
        <f t="shared" si="5"/>
        <v>0</v>
      </c>
      <c r="L39" s="5">
        <f t="shared" si="6"/>
        <v>0</v>
      </c>
      <c r="M39" s="6" t="str">
        <f t="shared" si="7"/>
        <v/>
      </c>
      <c r="N39" s="4"/>
      <c r="O39" s="4"/>
      <c r="P39" s="5">
        <f t="shared" si="8"/>
        <v>0</v>
      </c>
      <c r="Q39" s="6" t="str">
        <f t="shared" si="9"/>
        <v/>
      </c>
      <c r="R39" s="4"/>
      <c r="S39" s="4"/>
      <c r="T39" s="5">
        <f t="shared" si="10"/>
        <v>0</v>
      </c>
      <c r="U39" s="6" t="str">
        <f t="shared" si="11"/>
        <v/>
      </c>
      <c r="V39" s="5">
        <f t="shared" si="12"/>
        <v>0</v>
      </c>
      <c r="W39" s="5">
        <f t="shared" si="13"/>
        <v>0</v>
      </c>
      <c r="X39" s="5">
        <f t="shared" si="14"/>
        <v>0</v>
      </c>
      <c r="Y39" s="6" t="str">
        <f t="shared" si="15"/>
        <v/>
      </c>
      <c r="Z39" s="5">
        <f>69516.19</f>
        <v>69516.19</v>
      </c>
      <c r="AA39" s="5">
        <f>162792</f>
        <v>162792</v>
      </c>
      <c r="AB39" s="5">
        <f t="shared" si="16"/>
        <v>-93275.81</v>
      </c>
      <c r="AC39" s="6">
        <f t="shared" si="17"/>
        <v>0.42702460808884957</v>
      </c>
      <c r="AD39" s="5">
        <f>46143.62</f>
        <v>46143.62</v>
      </c>
      <c r="AE39" s="4"/>
      <c r="AF39" s="5">
        <f t="shared" si="18"/>
        <v>46143.62</v>
      </c>
      <c r="AG39" s="6" t="str">
        <f t="shared" si="19"/>
        <v/>
      </c>
      <c r="AH39" s="5">
        <f t="shared" si="20"/>
        <v>115659.81</v>
      </c>
      <c r="AI39" s="5">
        <f t="shared" si="21"/>
        <v>162792</v>
      </c>
      <c r="AJ39" s="5">
        <f t="shared" si="22"/>
        <v>-47132.19</v>
      </c>
      <c r="AK39" s="6">
        <f t="shared" si="23"/>
        <v>0.7104760061919505</v>
      </c>
      <c r="AL39" s="4"/>
      <c r="AM39" s="4"/>
      <c r="AN39" s="5">
        <f t="shared" si="24"/>
        <v>0</v>
      </c>
      <c r="AO39" s="6" t="str">
        <f t="shared" si="25"/>
        <v/>
      </c>
      <c r="AP39" s="5">
        <f t="shared" si="26"/>
        <v>115659.81</v>
      </c>
      <c r="AQ39" s="5">
        <f t="shared" si="27"/>
        <v>162792</v>
      </c>
      <c r="AR39" s="5">
        <f t="shared" si="28"/>
        <v>-47132.19</v>
      </c>
      <c r="AS39" s="6">
        <f t="shared" si="29"/>
        <v>0.7104760061919505</v>
      </c>
    </row>
    <row r="40" spans="1:45" x14ac:dyDescent="0.2">
      <c r="A40" s="3" t="s">
        <v>48</v>
      </c>
      <c r="B40" s="4"/>
      <c r="C40" s="4"/>
      <c r="D40" s="5">
        <f t="shared" si="0"/>
        <v>0</v>
      </c>
      <c r="E40" s="6" t="str">
        <f t="shared" si="1"/>
        <v/>
      </c>
      <c r="F40" s="4"/>
      <c r="G40" s="4"/>
      <c r="H40" s="5">
        <f t="shared" si="2"/>
        <v>0</v>
      </c>
      <c r="I40" s="6" t="str">
        <f t="shared" si="3"/>
        <v/>
      </c>
      <c r="J40" s="5">
        <f t="shared" si="4"/>
        <v>0</v>
      </c>
      <c r="K40" s="5">
        <f t="shared" si="5"/>
        <v>0</v>
      </c>
      <c r="L40" s="5">
        <f t="shared" si="6"/>
        <v>0</v>
      </c>
      <c r="M40" s="6" t="str">
        <f t="shared" si="7"/>
        <v/>
      </c>
      <c r="N40" s="4"/>
      <c r="O40" s="4"/>
      <c r="P40" s="5">
        <f t="shared" si="8"/>
        <v>0</v>
      </c>
      <c r="Q40" s="6" t="str">
        <f t="shared" si="9"/>
        <v/>
      </c>
      <c r="R40" s="4"/>
      <c r="S40" s="4"/>
      <c r="T40" s="5">
        <f t="shared" si="10"/>
        <v>0</v>
      </c>
      <c r="U40" s="6" t="str">
        <f t="shared" si="11"/>
        <v/>
      </c>
      <c r="V40" s="5">
        <f t="shared" si="12"/>
        <v>0</v>
      </c>
      <c r="W40" s="5">
        <f t="shared" si="13"/>
        <v>0</v>
      </c>
      <c r="X40" s="5">
        <f t="shared" si="14"/>
        <v>0</v>
      </c>
      <c r="Y40" s="6" t="str">
        <f t="shared" si="15"/>
        <v/>
      </c>
      <c r="Z40" s="4"/>
      <c r="AA40" s="5">
        <f>8000</f>
        <v>8000</v>
      </c>
      <c r="AB40" s="5">
        <f t="shared" si="16"/>
        <v>-8000</v>
      </c>
      <c r="AC40" s="6">
        <f t="shared" si="17"/>
        <v>0</v>
      </c>
      <c r="AD40" s="4"/>
      <c r="AE40" s="4"/>
      <c r="AF40" s="5">
        <f t="shared" si="18"/>
        <v>0</v>
      </c>
      <c r="AG40" s="6" t="str">
        <f t="shared" si="19"/>
        <v/>
      </c>
      <c r="AH40" s="5">
        <f t="shared" si="20"/>
        <v>0</v>
      </c>
      <c r="AI40" s="5">
        <f t="shared" si="21"/>
        <v>8000</v>
      </c>
      <c r="AJ40" s="5">
        <f t="shared" si="22"/>
        <v>-8000</v>
      </c>
      <c r="AK40" s="6">
        <f t="shared" si="23"/>
        <v>0</v>
      </c>
      <c r="AL40" s="4"/>
      <c r="AM40" s="4"/>
      <c r="AN40" s="5">
        <f t="shared" si="24"/>
        <v>0</v>
      </c>
      <c r="AO40" s="6" t="str">
        <f t="shared" si="25"/>
        <v/>
      </c>
      <c r="AP40" s="5">
        <f t="shared" si="26"/>
        <v>0</v>
      </c>
      <c r="AQ40" s="5">
        <f t="shared" si="27"/>
        <v>8000</v>
      </c>
      <c r="AR40" s="5">
        <f t="shared" si="28"/>
        <v>-8000</v>
      </c>
      <c r="AS40" s="6">
        <f t="shared" si="29"/>
        <v>0</v>
      </c>
    </row>
    <row r="41" spans="1:45" x14ac:dyDescent="0.2">
      <c r="A41" s="3" t="s">
        <v>49</v>
      </c>
      <c r="B41" s="4"/>
      <c r="C41" s="4"/>
      <c r="D41" s="5">
        <f t="shared" si="0"/>
        <v>0</v>
      </c>
      <c r="E41" s="6" t="str">
        <f t="shared" si="1"/>
        <v/>
      </c>
      <c r="F41" s="4"/>
      <c r="G41" s="4"/>
      <c r="H41" s="5">
        <f t="shared" si="2"/>
        <v>0</v>
      </c>
      <c r="I41" s="6" t="str">
        <f t="shared" si="3"/>
        <v/>
      </c>
      <c r="J41" s="5">
        <f t="shared" si="4"/>
        <v>0</v>
      </c>
      <c r="K41" s="5">
        <f t="shared" si="5"/>
        <v>0</v>
      </c>
      <c r="L41" s="5">
        <f t="shared" si="6"/>
        <v>0</v>
      </c>
      <c r="M41" s="6" t="str">
        <f t="shared" si="7"/>
        <v/>
      </c>
      <c r="N41" s="4"/>
      <c r="O41" s="4"/>
      <c r="P41" s="5">
        <f t="shared" si="8"/>
        <v>0</v>
      </c>
      <c r="Q41" s="6" t="str">
        <f t="shared" si="9"/>
        <v/>
      </c>
      <c r="R41" s="4"/>
      <c r="S41" s="4"/>
      <c r="T41" s="5">
        <f t="shared" si="10"/>
        <v>0</v>
      </c>
      <c r="U41" s="6" t="str">
        <f t="shared" si="11"/>
        <v/>
      </c>
      <c r="V41" s="5">
        <f t="shared" si="12"/>
        <v>0</v>
      </c>
      <c r="W41" s="5">
        <f t="shared" si="13"/>
        <v>0</v>
      </c>
      <c r="X41" s="5">
        <f t="shared" si="14"/>
        <v>0</v>
      </c>
      <c r="Y41" s="6" t="str">
        <f t="shared" si="15"/>
        <v/>
      </c>
      <c r="Z41" s="5">
        <f>2893.01</f>
        <v>2893.01</v>
      </c>
      <c r="AA41" s="4"/>
      <c r="AB41" s="5">
        <f t="shared" si="16"/>
        <v>2893.01</v>
      </c>
      <c r="AC41" s="6" t="str">
        <f t="shared" si="17"/>
        <v/>
      </c>
      <c r="AD41" s="5">
        <f>1501.64</f>
        <v>1501.64</v>
      </c>
      <c r="AE41" s="4"/>
      <c r="AF41" s="5">
        <f t="shared" si="18"/>
        <v>1501.64</v>
      </c>
      <c r="AG41" s="6" t="str">
        <f t="shared" si="19"/>
        <v/>
      </c>
      <c r="AH41" s="5">
        <f t="shared" si="20"/>
        <v>4394.6500000000005</v>
      </c>
      <c r="AI41" s="5">
        <f t="shared" si="21"/>
        <v>0</v>
      </c>
      <c r="AJ41" s="5">
        <f t="shared" si="22"/>
        <v>4394.6500000000005</v>
      </c>
      <c r="AK41" s="6" t="str">
        <f t="shared" si="23"/>
        <v/>
      </c>
      <c r="AL41" s="4"/>
      <c r="AM41" s="4"/>
      <c r="AN41" s="5">
        <f t="shared" si="24"/>
        <v>0</v>
      </c>
      <c r="AO41" s="6" t="str">
        <f t="shared" si="25"/>
        <v/>
      </c>
      <c r="AP41" s="5">
        <f t="shared" si="26"/>
        <v>4394.6500000000005</v>
      </c>
      <c r="AQ41" s="5">
        <f t="shared" si="27"/>
        <v>0</v>
      </c>
      <c r="AR41" s="5">
        <f t="shared" si="28"/>
        <v>4394.6500000000005</v>
      </c>
      <c r="AS41" s="6" t="str">
        <f t="shared" si="29"/>
        <v/>
      </c>
    </row>
    <row r="42" spans="1:45" x14ac:dyDescent="0.2">
      <c r="A42" s="3" t="s">
        <v>50</v>
      </c>
      <c r="B42" s="5">
        <f>50</f>
        <v>50</v>
      </c>
      <c r="C42" s="4"/>
      <c r="D42" s="5">
        <f t="shared" si="0"/>
        <v>50</v>
      </c>
      <c r="E42" s="6" t="str">
        <f t="shared" si="1"/>
        <v/>
      </c>
      <c r="F42" s="4"/>
      <c r="G42" s="4"/>
      <c r="H42" s="5">
        <f t="shared" si="2"/>
        <v>0</v>
      </c>
      <c r="I42" s="6" t="str">
        <f t="shared" si="3"/>
        <v/>
      </c>
      <c r="J42" s="5">
        <f t="shared" si="4"/>
        <v>50</v>
      </c>
      <c r="K42" s="5">
        <f t="shared" si="5"/>
        <v>0</v>
      </c>
      <c r="L42" s="5">
        <f t="shared" si="6"/>
        <v>50</v>
      </c>
      <c r="M42" s="6" t="str">
        <f t="shared" si="7"/>
        <v/>
      </c>
      <c r="N42" s="4"/>
      <c r="O42" s="4"/>
      <c r="P42" s="5">
        <f t="shared" si="8"/>
        <v>0</v>
      </c>
      <c r="Q42" s="6" t="str">
        <f t="shared" si="9"/>
        <v/>
      </c>
      <c r="R42" s="4"/>
      <c r="S42" s="4"/>
      <c r="T42" s="5">
        <f t="shared" si="10"/>
        <v>0</v>
      </c>
      <c r="U42" s="6" t="str">
        <f t="shared" si="11"/>
        <v/>
      </c>
      <c r="V42" s="5">
        <f t="shared" si="12"/>
        <v>0</v>
      </c>
      <c r="W42" s="5">
        <f t="shared" si="13"/>
        <v>0</v>
      </c>
      <c r="X42" s="5">
        <f t="shared" si="14"/>
        <v>0</v>
      </c>
      <c r="Y42" s="6" t="str">
        <f t="shared" si="15"/>
        <v/>
      </c>
      <c r="Z42" s="5">
        <f>890</f>
        <v>890</v>
      </c>
      <c r="AA42" s="4"/>
      <c r="AB42" s="5">
        <f t="shared" si="16"/>
        <v>890</v>
      </c>
      <c r="AC42" s="6" t="str">
        <f t="shared" si="17"/>
        <v/>
      </c>
      <c r="AD42" s="4"/>
      <c r="AE42" s="4"/>
      <c r="AF42" s="5">
        <f t="shared" si="18"/>
        <v>0</v>
      </c>
      <c r="AG42" s="6" t="str">
        <f t="shared" si="19"/>
        <v/>
      </c>
      <c r="AH42" s="5">
        <f t="shared" si="20"/>
        <v>890</v>
      </c>
      <c r="AI42" s="5">
        <f t="shared" si="21"/>
        <v>0</v>
      </c>
      <c r="AJ42" s="5">
        <f t="shared" si="22"/>
        <v>890</v>
      </c>
      <c r="AK42" s="6" t="str">
        <f t="shared" si="23"/>
        <v/>
      </c>
      <c r="AL42" s="4"/>
      <c r="AM42" s="4"/>
      <c r="AN42" s="5">
        <f t="shared" si="24"/>
        <v>0</v>
      </c>
      <c r="AO42" s="6" t="str">
        <f t="shared" si="25"/>
        <v/>
      </c>
      <c r="AP42" s="5">
        <f t="shared" si="26"/>
        <v>940</v>
      </c>
      <c r="AQ42" s="5">
        <f t="shared" si="27"/>
        <v>0</v>
      </c>
      <c r="AR42" s="5">
        <f t="shared" si="28"/>
        <v>940</v>
      </c>
      <c r="AS42" s="6" t="str">
        <f t="shared" si="29"/>
        <v/>
      </c>
    </row>
    <row r="43" spans="1:45" x14ac:dyDescent="0.2">
      <c r="A43" s="3" t="s">
        <v>51</v>
      </c>
      <c r="B43" s="7">
        <f>((B40)+(B41))+(B42)</f>
        <v>50</v>
      </c>
      <c r="C43" s="7">
        <f>((C40)+(C41))+(C42)</f>
        <v>0</v>
      </c>
      <c r="D43" s="7">
        <f t="shared" si="0"/>
        <v>50</v>
      </c>
      <c r="E43" s="8" t="str">
        <f t="shared" si="1"/>
        <v/>
      </c>
      <c r="F43" s="7">
        <f>((F40)+(F41))+(F42)</f>
        <v>0</v>
      </c>
      <c r="G43" s="7">
        <f>((G40)+(G41))+(G42)</f>
        <v>0</v>
      </c>
      <c r="H43" s="7">
        <f t="shared" si="2"/>
        <v>0</v>
      </c>
      <c r="I43" s="8" t="str">
        <f t="shared" si="3"/>
        <v/>
      </c>
      <c r="J43" s="7">
        <f t="shared" si="4"/>
        <v>50</v>
      </c>
      <c r="K43" s="7">
        <f t="shared" si="5"/>
        <v>0</v>
      </c>
      <c r="L43" s="7">
        <f t="shared" si="6"/>
        <v>50</v>
      </c>
      <c r="M43" s="8" t="str">
        <f t="shared" si="7"/>
        <v/>
      </c>
      <c r="N43" s="7">
        <f>((N40)+(N41))+(N42)</f>
        <v>0</v>
      </c>
      <c r="O43" s="7">
        <f>((O40)+(O41))+(O42)</f>
        <v>0</v>
      </c>
      <c r="P43" s="7">
        <f t="shared" si="8"/>
        <v>0</v>
      </c>
      <c r="Q43" s="8" t="str">
        <f t="shared" si="9"/>
        <v/>
      </c>
      <c r="R43" s="7">
        <f>((R40)+(R41))+(R42)</f>
        <v>0</v>
      </c>
      <c r="S43" s="7">
        <f>((S40)+(S41))+(S42)</f>
        <v>0</v>
      </c>
      <c r="T43" s="7">
        <f t="shared" si="10"/>
        <v>0</v>
      </c>
      <c r="U43" s="8" t="str">
        <f t="shared" si="11"/>
        <v/>
      </c>
      <c r="V43" s="7">
        <f t="shared" si="12"/>
        <v>0</v>
      </c>
      <c r="W43" s="7">
        <f t="shared" si="13"/>
        <v>0</v>
      </c>
      <c r="X43" s="7">
        <f t="shared" si="14"/>
        <v>0</v>
      </c>
      <c r="Y43" s="8" t="str">
        <f t="shared" si="15"/>
        <v/>
      </c>
      <c r="Z43" s="7">
        <f>((Z40)+(Z41))+(Z42)</f>
        <v>3783.01</v>
      </c>
      <c r="AA43" s="7">
        <f>((AA40)+(AA41))+(AA42)</f>
        <v>8000</v>
      </c>
      <c r="AB43" s="7">
        <f t="shared" si="16"/>
        <v>-4216.99</v>
      </c>
      <c r="AC43" s="8">
        <f t="shared" si="17"/>
        <v>0.47287625000000005</v>
      </c>
      <c r="AD43" s="7">
        <f>((AD40)+(AD41))+(AD42)</f>
        <v>1501.64</v>
      </c>
      <c r="AE43" s="7">
        <f>((AE40)+(AE41))+(AE42)</f>
        <v>0</v>
      </c>
      <c r="AF43" s="7">
        <f t="shared" si="18"/>
        <v>1501.64</v>
      </c>
      <c r="AG43" s="8" t="str">
        <f t="shared" si="19"/>
        <v/>
      </c>
      <c r="AH43" s="7">
        <f t="shared" si="20"/>
        <v>5284.6500000000005</v>
      </c>
      <c r="AI43" s="7">
        <f t="shared" si="21"/>
        <v>8000</v>
      </c>
      <c r="AJ43" s="7">
        <f t="shared" si="22"/>
        <v>-2715.3499999999995</v>
      </c>
      <c r="AK43" s="8">
        <f t="shared" si="23"/>
        <v>0.66058125000000012</v>
      </c>
      <c r="AL43" s="7">
        <f>((AL40)+(AL41))+(AL42)</f>
        <v>0</v>
      </c>
      <c r="AM43" s="7">
        <f>((AM40)+(AM41))+(AM42)</f>
        <v>0</v>
      </c>
      <c r="AN43" s="7">
        <f t="shared" si="24"/>
        <v>0</v>
      </c>
      <c r="AO43" s="8" t="str">
        <f t="shared" si="25"/>
        <v/>
      </c>
      <c r="AP43" s="7">
        <f t="shared" si="26"/>
        <v>5334.6500000000005</v>
      </c>
      <c r="AQ43" s="7">
        <f t="shared" si="27"/>
        <v>8000</v>
      </c>
      <c r="AR43" s="7">
        <f t="shared" si="28"/>
        <v>-2665.3499999999995</v>
      </c>
      <c r="AS43" s="8">
        <f t="shared" si="29"/>
        <v>0.6668312500000001</v>
      </c>
    </row>
    <row r="44" spans="1:45" x14ac:dyDescent="0.2">
      <c r="A44" s="3" t="s">
        <v>52</v>
      </c>
      <c r="B44" s="4"/>
      <c r="C44" s="4"/>
      <c r="D44" s="5">
        <f t="shared" si="0"/>
        <v>0</v>
      </c>
      <c r="E44" s="6" t="str">
        <f t="shared" si="1"/>
        <v/>
      </c>
      <c r="F44" s="4"/>
      <c r="G44" s="4"/>
      <c r="H44" s="5">
        <f t="shared" si="2"/>
        <v>0</v>
      </c>
      <c r="I44" s="6" t="str">
        <f t="shared" si="3"/>
        <v/>
      </c>
      <c r="J44" s="5">
        <f t="shared" si="4"/>
        <v>0</v>
      </c>
      <c r="K44" s="5">
        <f t="shared" si="5"/>
        <v>0</v>
      </c>
      <c r="L44" s="5">
        <f t="shared" si="6"/>
        <v>0</v>
      </c>
      <c r="M44" s="6" t="str">
        <f t="shared" si="7"/>
        <v/>
      </c>
      <c r="N44" s="4"/>
      <c r="O44" s="4"/>
      <c r="P44" s="5">
        <f t="shared" si="8"/>
        <v>0</v>
      </c>
      <c r="Q44" s="6" t="str">
        <f t="shared" si="9"/>
        <v/>
      </c>
      <c r="R44" s="4"/>
      <c r="S44" s="4"/>
      <c r="T44" s="5">
        <f t="shared" si="10"/>
        <v>0</v>
      </c>
      <c r="U44" s="6" t="str">
        <f t="shared" si="11"/>
        <v/>
      </c>
      <c r="V44" s="5">
        <f t="shared" si="12"/>
        <v>0</v>
      </c>
      <c r="W44" s="5">
        <f t="shared" si="13"/>
        <v>0</v>
      </c>
      <c r="X44" s="5">
        <f t="shared" si="14"/>
        <v>0</v>
      </c>
      <c r="Y44" s="6" t="str">
        <f t="shared" si="15"/>
        <v/>
      </c>
      <c r="Z44" s="4"/>
      <c r="AA44" s="5">
        <f>6212</f>
        <v>6212</v>
      </c>
      <c r="AB44" s="5">
        <f t="shared" si="16"/>
        <v>-6212</v>
      </c>
      <c r="AC44" s="6">
        <f t="shared" si="17"/>
        <v>0</v>
      </c>
      <c r="AD44" s="4"/>
      <c r="AE44" s="4"/>
      <c r="AF44" s="5">
        <f t="shared" si="18"/>
        <v>0</v>
      </c>
      <c r="AG44" s="6" t="str">
        <f t="shared" si="19"/>
        <v/>
      </c>
      <c r="AH44" s="5">
        <f t="shared" si="20"/>
        <v>0</v>
      </c>
      <c r="AI44" s="5">
        <f t="shared" si="21"/>
        <v>6212</v>
      </c>
      <c r="AJ44" s="5">
        <f t="shared" si="22"/>
        <v>-6212</v>
      </c>
      <c r="AK44" s="6">
        <f t="shared" si="23"/>
        <v>0</v>
      </c>
      <c r="AL44" s="4"/>
      <c r="AM44" s="4"/>
      <c r="AN44" s="5">
        <f t="shared" si="24"/>
        <v>0</v>
      </c>
      <c r="AO44" s="6" t="str">
        <f t="shared" si="25"/>
        <v/>
      </c>
      <c r="AP44" s="5">
        <f t="shared" si="26"/>
        <v>0</v>
      </c>
      <c r="AQ44" s="5">
        <f t="shared" si="27"/>
        <v>6212</v>
      </c>
      <c r="AR44" s="5">
        <f t="shared" si="28"/>
        <v>-6212</v>
      </c>
      <c r="AS44" s="6">
        <f t="shared" si="29"/>
        <v>0</v>
      </c>
    </row>
    <row r="45" spans="1:45" x14ac:dyDescent="0.2">
      <c r="A45" s="3" t="s">
        <v>53</v>
      </c>
      <c r="B45" s="7">
        <f>(((B38)+(B39))+(B43))+(B44)</f>
        <v>50</v>
      </c>
      <c r="C45" s="7">
        <f>(((C38)+(C39))+(C43))+(C44)</f>
        <v>0</v>
      </c>
      <c r="D45" s="7">
        <f t="shared" si="0"/>
        <v>50</v>
      </c>
      <c r="E45" s="8" t="str">
        <f t="shared" si="1"/>
        <v/>
      </c>
      <c r="F45" s="7">
        <f>(((F38)+(F39))+(F43))+(F44)</f>
        <v>0</v>
      </c>
      <c r="G45" s="7">
        <f>(((G38)+(G39))+(G43))+(G44)</f>
        <v>0</v>
      </c>
      <c r="H45" s="7">
        <f t="shared" si="2"/>
        <v>0</v>
      </c>
      <c r="I45" s="8" t="str">
        <f t="shared" si="3"/>
        <v/>
      </c>
      <c r="J45" s="7">
        <f t="shared" si="4"/>
        <v>50</v>
      </c>
      <c r="K45" s="7">
        <f t="shared" si="5"/>
        <v>0</v>
      </c>
      <c r="L45" s="7">
        <f t="shared" si="6"/>
        <v>50</v>
      </c>
      <c r="M45" s="8" t="str">
        <f t="shared" si="7"/>
        <v/>
      </c>
      <c r="N45" s="7">
        <f>(((N38)+(N39))+(N43))+(N44)</f>
        <v>0</v>
      </c>
      <c r="O45" s="7">
        <f>(((O38)+(O39))+(O43))+(O44)</f>
        <v>0</v>
      </c>
      <c r="P45" s="7">
        <f t="shared" si="8"/>
        <v>0</v>
      </c>
      <c r="Q45" s="8" t="str">
        <f t="shared" si="9"/>
        <v/>
      </c>
      <c r="R45" s="7">
        <f>(((R38)+(R39))+(R43))+(R44)</f>
        <v>0</v>
      </c>
      <c r="S45" s="7">
        <f>(((S38)+(S39))+(S43))+(S44)</f>
        <v>0</v>
      </c>
      <c r="T45" s="7">
        <f t="shared" si="10"/>
        <v>0</v>
      </c>
      <c r="U45" s="8" t="str">
        <f t="shared" si="11"/>
        <v/>
      </c>
      <c r="V45" s="7">
        <f t="shared" si="12"/>
        <v>0</v>
      </c>
      <c r="W45" s="7">
        <f t="shared" si="13"/>
        <v>0</v>
      </c>
      <c r="X45" s="7">
        <f t="shared" si="14"/>
        <v>0</v>
      </c>
      <c r="Y45" s="8" t="str">
        <f t="shared" si="15"/>
        <v/>
      </c>
      <c r="Z45" s="7">
        <f>(((Z38)+(Z39))+(Z43))+(Z44)</f>
        <v>73299.199999999997</v>
      </c>
      <c r="AA45" s="7">
        <f>(((AA38)+(AA39))+(AA43))+(AA44)</f>
        <v>177004</v>
      </c>
      <c r="AB45" s="7">
        <f t="shared" si="16"/>
        <v>-103704.8</v>
      </c>
      <c r="AC45" s="8">
        <f t="shared" si="17"/>
        <v>0.41411041558382861</v>
      </c>
      <c r="AD45" s="7">
        <f>(((AD38)+(AD39))+(AD43))+(AD44)</f>
        <v>47645.26</v>
      </c>
      <c r="AE45" s="7">
        <f>(((AE38)+(AE39))+(AE43))+(AE44)</f>
        <v>0</v>
      </c>
      <c r="AF45" s="7">
        <f t="shared" si="18"/>
        <v>47645.26</v>
      </c>
      <c r="AG45" s="8" t="str">
        <f t="shared" si="19"/>
        <v/>
      </c>
      <c r="AH45" s="7">
        <f t="shared" si="20"/>
        <v>120944.45999999999</v>
      </c>
      <c r="AI45" s="7">
        <f t="shared" si="21"/>
        <v>177004</v>
      </c>
      <c r="AJ45" s="7">
        <f t="shared" si="22"/>
        <v>-56059.540000000008</v>
      </c>
      <c r="AK45" s="8">
        <f t="shared" si="23"/>
        <v>0.68328659239339218</v>
      </c>
      <c r="AL45" s="7">
        <f>(((AL38)+(AL39))+(AL43))+(AL44)</f>
        <v>0</v>
      </c>
      <c r="AM45" s="7">
        <f>(((AM38)+(AM39))+(AM43))+(AM44)</f>
        <v>0</v>
      </c>
      <c r="AN45" s="7">
        <f t="shared" si="24"/>
        <v>0</v>
      </c>
      <c r="AO45" s="8" t="str">
        <f t="shared" si="25"/>
        <v/>
      </c>
      <c r="AP45" s="7">
        <f t="shared" si="26"/>
        <v>120994.45999999999</v>
      </c>
      <c r="AQ45" s="7">
        <f t="shared" si="27"/>
        <v>177004</v>
      </c>
      <c r="AR45" s="7">
        <f t="shared" si="28"/>
        <v>-56009.540000000008</v>
      </c>
      <c r="AS45" s="8">
        <f t="shared" si="29"/>
        <v>0.68356907188538107</v>
      </c>
    </row>
    <row r="46" spans="1:45" x14ac:dyDescent="0.2">
      <c r="A46" s="3" t="s">
        <v>54</v>
      </c>
      <c r="B46" s="4"/>
      <c r="C46" s="4"/>
      <c r="D46" s="5">
        <f t="shared" si="0"/>
        <v>0</v>
      </c>
      <c r="E46" s="6" t="str">
        <f t="shared" si="1"/>
        <v/>
      </c>
      <c r="F46" s="4"/>
      <c r="G46" s="4"/>
      <c r="H46" s="5">
        <f t="shared" si="2"/>
        <v>0</v>
      </c>
      <c r="I46" s="6" t="str">
        <f t="shared" si="3"/>
        <v/>
      </c>
      <c r="J46" s="5">
        <f t="shared" si="4"/>
        <v>0</v>
      </c>
      <c r="K46" s="5">
        <f t="shared" si="5"/>
        <v>0</v>
      </c>
      <c r="L46" s="5">
        <f t="shared" si="6"/>
        <v>0</v>
      </c>
      <c r="M46" s="6" t="str">
        <f t="shared" si="7"/>
        <v/>
      </c>
      <c r="N46" s="4"/>
      <c r="O46" s="4"/>
      <c r="P46" s="5">
        <f t="shared" si="8"/>
        <v>0</v>
      </c>
      <c r="Q46" s="6" t="str">
        <f t="shared" si="9"/>
        <v/>
      </c>
      <c r="R46" s="4"/>
      <c r="S46" s="4"/>
      <c r="T46" s="5">
        <f t="shared" si="10"/>
        <v>0</v>
      </c>
      <c r="U46" s="6" t="str">
        <f t="shared" si="11"/>
        <v/>
      </c>
      <c r="V46" s="5">
        <f t="shared" si="12"/>
        <v>0</v>
      </c>
      <c r="W46" s="5">
        <f t="shared" si="13"/>
        <v>0</v>
      </c>
      <c r="X46" s="5">
        <f t="shared" si="14"/>
        <v>0</v>
      </c>
      <c r="Y46" s="6" t="str">
        <f t="shared" si="15"/>
        <v/>
      </c>
      <c r="Z46" s="4"/>
      <c r="AA46" s="4"/>
      <c r="AB46" s="5">
        <f t="shared" si="16"/>
        <v>0</v>
      </c>
      <c r="AC46" s="6" t="str">
        <f t="shared" si="17"/>
        <v/>
      </c>
      <c r="AD46" s="4"/>
      <c r="AE46" s="4"/>
      <c r="AF46" s="5">
        <f t="shared" si="18"/>
        <v>0</v>
      </c>
      <c r="AG46" s="6" t="str">
        <f t="shared" si="19"/>
        <v/>
      </c>
      <c r="AH46" s="5">
        <f t="shared" si="20"/>
        <v>0</v>
      </c>
      <c r="AI46" s="5">
        <f t="shared" si="21"/>
        <v>0</v>
      </c>
      <c r="AJ46" s="5">
        <f t="shared" si="22"/>
        <v>0</v>
      </c>
      <c r="AK46" s="6" t="str">
        <f t="shared" si="23"/>
        <v/>
      </c>
      <c r="AL46" s="4"/>
      <c r="AM46" s="4"/>
      <c r="AN46" s="5">
        <f t="shared" si="24"/>
        <v>0</v>
      </c>
      <c r="AO46" s="6" t="str">
        <f t="shared" si="25"/>
        <v/>
      </c>
      <c r="AP46" s="5">
        <f t="shared" si="26"/>
        <v>0</v>
      </c>
      <c r="AQ46" s="5">
        <f t="shared" si="27"/>
        <v>0</v>
      </c>
      <c r="AR46" s="5">
        <f t="shared" si="28"/>
        <v>0</v>
      </c>
      <c r="AS46" s="6" t="str">
        <f t="shared" si="29"/>
        <v/>
      </c>
    </row>
    <row r="47" spans="1:45" x14ac:dyDescent="0.2">
      <c r="A47" s="3" t="s">
        <v>55</v>
      </c>
      <c r="B47" s="4"/>
      <c r="C47" s="4"/>
      <c r="D47" s="5">
        <f t="shared" si="0"/>
        <v>0</v>
      </c>
      <c r="E47" s="6" t="str">
        <f t="shared" si="1"/>
        <v/>
      </c>
      <c r="F47" s="4"/>
      <c r="G47" s="4"/>
      <c r="H47" s="5">
        <f t="shared" si="2"/>
        <v>0</v>
      </c>
      <c r="I47" s="6" t="str">
        <f t="shared" si="3"/>
        <v/>
      </c>
      <c r="J47" s="5">
        <f t="shared" si="4"/>
        <v>0</v>
      </c>
      <c r="K47" s="5">
        <f t="shared" si="5"/>
        <v>0</v>
      </c>
      <c r="L47" s="5">
        <f t="shared" si="6"/>
        <v>0</v>
      </c>
      <c r="M47" s="6" t="str">
        <f t="shared" si="7"/>
        <v/>
      </c>
      <c r="N47" s="4"/>
      <c r="O47" s="4"/>
      <c r="P47" s="5">
        <f t="shared" si="8"/>
        <v>0</v>
      </c>
      <c r="Q47" s="6" t="str">
        <f t="shared" si="9"/>
        <v/>
      </c>
      <c r="R47" s="4"/>
      <c r="S47" s="4"/>
      <c r="T47" s="5">
        <f t="shared" si="10"/>
        <v>0</v>
      </c>
      <c r="U47" s="6" t="str">
        <f t="shared" si="11"/>
        <v/>
      </c>
      <c r="V47" s="5">
        <f t="shared" si="12"/>
        <v>0</v>
      </c>
      <c r="W47" s="5">
        <f t="shared" si="13"/>
        <v>0</v>
      </c>
      <c r="X47" s="5">
        <f t="shared" si="14"/>
        <v>0</v>
      </c>
      <c r="Y47" s="6" t="str">
        <f t="shared" si="15"/>
        <v/>
      </c>
      <c r="Z47" s="5">
        <f>625.66</f>
        <v>625.66</v>
      </c>
      <c r="AA47" s="4"/>
      <c r="AB47" s="5">
        <f t="shared" si="16"/>
        <v>625.66</v>
      </c>
      <c r="AC47" s="6" t="str">
        <f t="shared" si="17"/>
        <v/>
      </c>
      <c r="AD47" s="4"/>
      <c r="AE47" s="4"/>
      <c r="AF47" s="5">
        <f t="shared" si="18"/>
        <v>0</v>
      </c>
      <c r="AG47" s="6" t="str">
        <f t="shared" si="19"/>
        <v/>
      </c>
      <c r="AH47" s="5">
        <f t="shared" si="20"/>
        <v>625.66</v>
      </c>
      <c r="AI47" s="5">
        <f t="shared" si="21"/>
        <v>0</v>
      </c>
      <c r="AJ47" s="5">
        <f t="shared" si="22"/>
        <v>625.66</v>
      </c>
      <c r="AK47" s="6" t="str">
        <f t="shared" si="23"/>
        <v/>
      </c>
      <c r="AL47" s="4"/>
      <c r="AM47" s="4"/>
      <c r="AN47" s="5">
        <f t="shared" si="24"/>
        <v>0</v>
      </c>
      <c r="AO47" s="6" t="str">
        <f t="shared" si="25"/>
        <v/>
      </c>
      <c r="AP47" s="5">
        <f t="shared" si="26"/>
        <v>625.66</v>
      </c>
      <c r="AQ47" s="5">
        <f t="shared" si="27"/>
        <v>0</v>
      </c>
      <c r="AR47" s="5">
        <f t="shared" si="28"/>
        <v>625.66</v>
      </c>
      <c r="AS47" s="6" t="str">
        <f t="shared" si="29"/>
        <v/>
      </c>
    </row>
    <row r="48" spans="1:45" ht="25" x14ac:dyDescent="0.2">
      <c r="A48" s="3" t="s">
        <v>56</v>
      </c>
      <c r="B48" s="7">
        <f>(B46)+(B47)</f>
        <v>0</v>
      </c>
      <c r="C48" s="7">
        <f>(C46)+(C47)</f>
        <v>0</v>
      </c>
      <c r="D48" s="7">
        <f t="shared" si="0"/>
        <v>0</v>
      </c>
      <c r="E48" s="8" t="str">
        <f t="shared" si="1"/>
        <v/>
      </c>
      <c r="F48" s="7">
        <f>(F46)+(F47)</f>
        <v>0</v>
      </c>
      <c r="G48" s="7">
        <f>(G46)+(G47)</f>
        <v>0</v>
      </c>
      <c r="H48" s="7">
        <f t="shared" si="2"/>
        <v>0</v>
      </c>
      <c r="I48" s="8" t="str">
        <f t="shared" si="3"/>
        <v/>
      </c>
      <c r="J48" s="7">
        <f t="shared" si="4"/>
        <v>0</v>
      </c>
      <c r="K48" s="7">
        <f t="shared" si="5"/>
        <v>0</v>
      </c>
      <c r="L48" s="7">
        <f t="shared" si="6"/>
        <v>0</v>
      </c>
      <c r="M48" s="8" t="str">
        <f t="shared" si="7"/>
        <v/>
      </c>
      <c r="N48" s="7">
        <f>(N46)+(N47)</f>
        <v>0</v>
      </c>
      <c r="O48" s="7">
        <f>(O46)+(O47)</f>
        <v>0</v>
      </c>
      <c r="P48" s="7">
        <f t="shared" si="8"/>
        <v>0</v>
      </c>
      <c r="Q48" s="8" t="str">
        <f t="shared" si="9"/>
        <v/>
      </c>
      <c r="R48" s="7">
        <f>(R46)+(R47)</f>
        <v>0</v>
      </c>
      <c r="S48" s="7">
        <f>(S46)+(S47)</f>
        <v>0</v>
      </c>
      <c r="T48" s="7">
        <f t="shared" si="10"/>
        <v>0</v>
      </c>
      <c r="U48" s="8" t="str">
        <f t="shared" si="11"/>
        <v/>
      </c>
      <c r="V48" s="7">
        <f t="shared" si="12"/>
        <v>0</v>
      </c>
      <c r="W48" s="7">
        <f t="shared" si="13"/>
        <v>0</v>
      </c>
      <c r="X48" s="7">
        <f t="shared" si="14"/>
        <v>0</v>
      </c>
      <c r="Y48" s="8" t="str">
        <f t="shared" si="15"/>
        <v/>
      </c>
      <c r="Z48" s="7">
        <f>(Z46)+(Z47)</f>
        <v>625.66</v>
      </c>
      <c r="AA48" s="7">
        <f>(AA46)+(AA47)</f>
        <v>0</v>
      </c>
      <c r="AB48" s="7">
        <f t="shared" si="16"/>
        <v>625.66</v>
      </c>
      <c r="AC48" s="8" t="str">
        <f t="shared" si="17"/>
        <v/>
      </c>
      <c r="AD48" s="7">
        <f>(AD46)+(AD47)</f>
        <v>0</v>
      </c>
      <c r="AE48" s="7">
        <f>(AE46)+(AE47)</f>
        <v>0</v>
      </c>
      <c r="AF48" s="7">
        <f t="shared" si="18"/>
        <v>0</v>
      </c>
      <c r="AG48" s="8" t="str">
        <f t="shared" si="19"/>
        <v/>
      </c>
      <c r="AH48" s="7">
        <f t="shared" si="20"/>
        <v>625.66</v>
      </c>
      <c r="AI48" s="7">
        <f t="shared" si="21"/>
        <v>0</v>
      </c>
      <c r="AJ48" s="7">
        <f t="shared" si="22"/>
        <v>625.66</v>
      </c>
      <c r="AK48" s="8" t="str">
        <f t="shared" si="23"/>
        <v/>
      </c>
      <c r="AL48" s="7">
        <f>(AL46)+(AL47)</f>
        <v>0</v>
      </c>
      <c r="AM48" s="7">
        <f>(AM46)+(AM47)</f>
        <v>0</v>
      </c>
      <c r="AN48" s="7">
        <f t="shared" si="24"/>
        <v>0</v>
      </c>
      <c r="AO48" s="8" t="str">
        <f t="shared" si="25"/>
        <v/>
      </c>
      <c r="AP48" s="7">
        <f t="shared" si="26"/>
        <v>625.66</v>
      </c>
      <c r="AQ48" s="7">
        <f t="shared" si="27"/>
        <v>0</v>
      </c>
      <c r="AR48" s="7">
        <f t="shared" si="28"/>
        <v>625.66</v>
      </c>
      <c r="AS48" s="8" t="str">
        <f t="shared" si="29"/>
        <v/>
      </c>
    </row>
    <row r="49" spans="1:45" x14ac:dyDescent="0.2">
      <c r="A49" s="3" t="s">
        <v>57</v>
      </c>
      <c r="B49" s="7">
        <f>((B37)+(B45))+(B48)</f>
        <v>50</v>
      </c>
      <c r="C49" s="7">
        <f>((C37)+(C45))+(C48)</f>
        <v>0</v>
      </c>
      <c r="D49" s="7">
        <f t="shared" si="0"/>
        <v>50</v>
      </c>
      <c r="E49" s="8" t="str">
        <f t="shared" si="1"/>
        <v/>
      </c>
      <c r="F49" s="7">
        <f>((F37)+(F45))+(F48)</f>
        <v>0</v>
      </c>
      <c r="G49" s="7">
        <f>((G37)+(G45))+(G48)</f>
        <v>0</v>
      </c>
      <c r="H49" s="7">
        <f t="shared" si="2"/>
        <v>0</v>
      </c>
      <c r="I49" s="8" t="str">
        <f t="shared" si="3"/>
        <v/>
      </c>
      <c r="J49" s="7">
        <f t="shared" si="4"/>
        <v>50</v>
      </c>
      <c r="K49" s="7">
        <f t="shared" si="5"/>
        <v>0</v>
      </c>
      <c r="L49" s="7">
        <f t="shared" si="6"/>
        <v>50</v>
      </c>
      <c r="M49" s="8" t="str">
        <f t="shared" si="7"/>
        <v/>
      </c>
      <c r="N49" s="7">
        <f>((N37)+(N45))+(N48)</f>
        <v>0</v>
      </c>
      <c r="O49" s="7">
        <f>((O37)+(O45))+(O48)</f>
        <v>0</v>
      </c>
      <c r="P49" s="7">
        <f t="shared" si="8"/>
        <v>0</v>
      </c>
      <c r="Q49" s="8" t="str">
        <f t="shared" si="9"/>
        <v/>
      </c>
      <c r="R49" s="7">
        <f>((R37)+(R45))+(R48)</f>
        <v>0</v>
      </c>
      <c r="S49" s="7">
        <f>((S37)+(S45))+(S48)</f>
        <v>0</v>
      </c>
      <c r="T49" s="7">
        <f t="shared" si="10"/>
        <v>0</v>
      </c>
      <c r="U49" s="8" t="str">
        <f t="shared" si="11"/>
        <v/>
      </c>
      <c r="V49" s="7">
        <f t="shared" si="12"/>
        <v>0</v>
      </c>
      <c r="W49" s="7">
        <f t="shared" si="13"/>
        <v>0</v>
      </c>
      <c r="X49" s="7">
        <f t="shared" si="14"/>
        <v>0</v>
      </c>
      <c r="Y49" s="8" t="str">
        <f t="shared" si="15"/>
        <v/>
      </c>
      <c r="Z49" s="7">
        <f>((Z37)+(Z45))+(Z48)</f>
        <v>73924.86</v>
      </c>
      <c r="AA49" s="7">
        <f>((AA37)+(AA45))+(AA48)</f>
        <v>177004</v>
      </c>
      <c r="AB49" s="7">
        <f t="shared" si="16"/>
        <v>-103079.14</v>
      </c>
      <c r="AC49" s="8">
        <f t="shared" si="17"/>
        <v>0.41764513796298391</v>
      </c>
      <c r="AD49" s="7">
        <f>((AD37)+(AD45))+(AD48)</f>
        <v>47645.26</v>
      </c>
      <c r="AE49" s="7">
        <f>((AE37)+(AE45))+(AE48)</f>
        <v>0</v>
      </c>
      <c r="AF49" s="7">
        <f t="shared" si="18"/>
        <v>47645.26</v>
      </c>
      <c r="AG49" s="8" t="str">
        <f t="shared" si="19"/>
        <v/>
      </c>
      <c r="AH49" s="7">
        <f t="shared" si="20"/>
        <v>121570.12</v>
      </c>
      <c r="AI49" s="7">
        <f t="shared" si="21"/>
        <v>177004</v>
      </c>
      <c r="AJ49" s="7">
        <f t="shared" si="22"/>
        <v>-55433.880000000005</v>
      </c>
      <c r="AK49" s="8">
        <f t="shared" si="23"/>
        <v>0.68682131477254749</v>
      </c>
      <c r="AL49" s="7">
        <f>((AL37)+(AL45))+(AL48)</f>
        <v>0</v>
      </c>
      <c r="AM49" s="7">
        <f>((AM37)+(AM45))+(AM48)</f>
        <v>0</v>
      </c>
      <c r="AN49" s="7">
        <f t="shared" si="24"/>
        <v>0</v>
      </c>
      <c r="AO49" s="8" t="str">
        <f t="shared" si="25"/>
        <v/>
      </c>
      <c r="AP49" s="7">
        <f t="shared" si="26"/>
        <v>121620.12</v>
      </c>
      <c r="AQ49" s="7">
        <f t="shared" si="27"/>
        <v>177004</v>
      </c>
      <c r="AR49" s="7">
        <f t="shared" si="28"/>
        <v>-55383.880000000005</v>
      </c>
      <c r="AS49" s="8">
        <f t="shared" si="29"/>
        <v>0.68710379426453638</v>
      </c>
    </row>
    <row r="50" spans="1:45" x14ac:dyDescent="0.2">
      <c r="A50" s="3" t="s">
        <v>58</v>
      </c>
      <c r="B50" s="7">
        <f>(((B8)+(B27))+(B36))+(B49)</f>
        <v>45013.46</v>
      </c>
      <c r="C50" s="7">
        <f>(((C8)+(C27))+(C36))+(C49)</f>
        <v>439140</v>
      </c>
      <c r="D50" s="7">
        <f t="shared" si="0"/>
        <v>-394126.54</v>
      </c>
      <c r="E50" s="8">
        <f t="shared" si="1"/>
        <v>0.10250366625677461</v>
      </c>
      <c r="F50" s="7">
        <f>(((F8)+(F27))+(F36))+(F49)</f>
        <v>274886.18</v>
      </c>
      <c r="G50" s="7">
        <f>(((G8)+(G27))+(G36))+(G49)</f>
        <v>0</v>
      </c>
      <c r="H50" s="7">
        <f t="shared" si="2"/>
        <v>274886.18</v>
      </c>
      <c r="I50" s="8" t="str">
        <f t="shared" si="3"/>
        <v/>
      </c>
      <c r="J50" s="7">
        <f t="shared" si="4"/>
        <v>319899.64</v>
      </c>
      <c r="K50" s="7">
        <f t="shared" si="5"/>
        <v>439140</v>
      </c>
      <c r="L50" s="7">
        <f t="shared" si="6"/>
        <v>-119240.35999999999</v>
      </c>
      <c r="M50" s="8">
        <f t="shared" si="7"/>
        <v>0.72846846108302599</v>
      </c>
      <c r="N50" s="7">
        <f>(((N8)+(N27))+(N36))+(N49)</f>
        <v>104212.18</v>
      </c>
      <c r="O50" s="7">
        <f>(((O8)+(O27))+(O36))+(O49)</f>
        <v>267960</v>
      </c>
      <c r="P50" s="7">
        <f t="shared" si="8"/>
        <v>-163747.82</v>
      </c>
      <c r="Q50" s="8">
        <f t="shared" si="9"/>
        <v>0.38890946409911925</v>
      </c>
      <c r="R50" s="7">
        <f>(((R8)+(R27))+(R36))+(R49)</f>
        <v>29574.03</v>
      </c>
      <c r="S50" s="7">
        <f>(((S8)+(S27))+(S36))+(S49)</f>
        <v>0</v>
      </c>
      <c r="T50" s="7">
        <f t="shared" si="10"/>
        <v>29574.03</v>
      </c>
      <c r="U50" s="8" t="str">
        <f t="shared" si="11"/>
        <v/>
      </c>
      <c r="V50" s="7">
        <f t="shared" si="12"/>
        <v>133786.21</v>
      </c>
      <c r="W50" s="7">
        <f t="shared" si="13"/>
        <v>267960</v>
      </c>
      <c r="X50" s="7">
        <f t="shared" si="14"/>
        <v>-134173.79</v>
      </c>
      <c r="Y50" s="8">
        <f t="shared" si="15"/>
        <v>0.49927679504403638</v>
      </c>
      <c r="Z50" s="7">
        <f>(((Z8)+(Z27))+(Z36))+(Z49)</f>
        <v>73924.86</v>
      </c>
      <c r="AA50" s="7">
        <f>(((AA8)+(AA27))+(AA36))+(AA49)</f>
        <v>177504</v>
      </c>
      <c r="AB50" s="7">
        <f t="shared" si="16"/>
        <v>-103579.14</v>
      </c>
      <c r="AC50" s="8">
        <f t="shared" si="17"/>
        <v>0.41646869929691727</v>
      </c>
      <c r="AD50" s="7">
        <f>(((AD8)+(AD27))+(AD36))+(AD49)</f>
        <v>47645.26</v>
      </c>
      <c r="AE50" s="7">
        <f>(((AE8)+(AE27))+(AE36))+(AE49)</f>
        <v>0</v>
      </c>
      <c r="AF50" s="7">
        <f t="shared" si="18"/>
        <v>47645.26</v>
      </c>
      <c r="AG50" s="8" t="str">
        <f t="shared" si="19"/>
        <v/>
      </c>
      <c r="AH50" s="7">
        <f t="shared" si="20"/>
        <v>121570.12</v>
      </c>
      <c r="AI50" s="7">
        <f t="shared" si="21"/>
        <v>177504</v>
      </c>
      <c r="AJ50" s="7">
        <f t="shared" si="22"/>
        <v>-55933.880000000005</v>
      </c>
      <c r="AK50" s="8">
        <f t="shared" si="23"/>
        <v>0.68488665044168018</v>
      </c>
      <c r="AL50" s="7">
        <f>(((AL8)+(AL27))+(AL36))+(AL49)</f>
        <v>34319.769999999997</v>
      </c>
      <c r="AM50" s="7">
        <f>(((AM8)+(AM27))+(AM36))+(AM49)</f>
        <v>0</v>
      </c>
      <c r="AN50" s="7">
        <f t="shared" si="24"/>
        <v>34319.769999999997</v>
      </c>
      <c r="AO50" s="8" t="str">
        <f t="shared" si="25"/>
        <v/>
      </c>
      <c r="AP50" s="7">
        <f t="shared" si="26"/>
        <v>609575.74</v>
      </c>
      <c r="AQ50" s="7">
        <f t="shared" si="27"/>
        <v>884604</v>
      </c>
      <c r="AR50" s="7">
        <f t="shared" si="28"/>
        <v>-275028.26</v>
      </c>
      <c r="AS50" s="8">
        <f t="shared" si="29"/>
        <v>0.68909448747688229</v>
      </c>
    </row>
    <row r="51" spans="1:45" x14ac:dyDescent="0.2">
      <c r="A51" s="3" t="s">
        <v>59</v>
      </c>
      <c r="B51" s="7">
        <f>B50</f>
        <v>45013.46</v>
      </c>
      <c r="C51" s="7">
        <f>C50</f>
        <v>439140</v>
      </c>
      <c r="D51" s="7">
        <f t="shared" si="0"/>
        <v>-394126.54</v>
      </c>
      <c r="E51" s="8">
        <f t="shared" si="1"/>
        <v>0.10250366625677461</v>
      </c>
      <c r="F51" s="7">
        <f>F50</f>
        <v>274886.18</v>
      </c>
      <c r="G51" s="7">
        <f>G50</f>
        <v>0</v>
      </c>
      <c r="H51" s="7">
        <f t="shared" si="2"/>
        <v>274886.18</v>
      </c>
      <c r="I51" s="8" t="str">
        <f t="shared" si="3"/>
        <v/>
      </c>
      <c r="J51" s="7">
        <f t="shared" si="4"/>
        <v>319899.64</v>
      </c>
      <c r="K51" s="7">
        <f t="shared" si="5"/>
        <v>439140</v>
      </c>
      <c r="L51" s="7">
        <f t="shared" si="6"/>
        <v>-119240.35999999999</v>
      </c>
      <c r="M51" s="8">
        <f t="shared" si="7"/>
        <v>0.72846846108302599</v>
      </c>
      <c r="N51" s="7">
        <f>N50</f>
        <v>104212.18</v>
      </c>
      <c r="O51" s="7">
        <f>O50</f>
        <v>267960</v>
      </c>
      <c r="P51" s="7">
        <f t="shared" si="8"/>
        <v>-163747.82</v>
      </c>
      <c r="Q51" s="8">
        <f t="shared" si="9"/>
        <v>0.38890946409911925</v>
      </c>
      <c r="R51" s="7">
        <f>R50</f>
        <v>29574.03</v>
      </c>
      <c r="S51" s="7">
        <f>S50</f>
        <v>0</v>
      </c>
      <c r="T51" s="7">
        <f t="shared" si="10"/>
        <v>29574.03</v>
      </c>
      <c r="U51" s="8" t="str">
        <f t="shared" si="11"/>
        <v/>
      </c>
      <c r="V51" s="7">
        <f t="shared" si="12"/>
        <v>133786.21</v>
      </c>
      <c r="W51" s="7">
        <f t="shared" si="13"/>
        <v>267960</v>
      </c>
      <c r="X51" s="7">
        <f t="shared" si="14"/>
        <v>-134173.79</v>
      </c>
      <c r="Y51" s="8">
        <f t="shared" si="15"/>
        <v>0.49927679504403638</v>
      </c>
      <c r="Z51" s="7">
        <f>Z50</f>
        <v>73924.86</v>
      </c>
      <c r="AA51" s="7">
        <f>AA50</f>
        <v>177504</v>
      </c>
      <c r="AB51" s="7">
        <f t="shared" si="16"/>
        <v>-103579.14</v>
      </c>
      <c r="AC51" s="8">
        <f t="shared" si="17"/>
        <v>0.41646869929691727</v>
      </c>
      <c r="AD51" s="7">
        <f>AD50</f>
        <v>47645.26</v>
      </c>
      <c r="AE51" s="7">
        <f>AE50</f>
        <v>0</v>
      </c>
      <c r="AF51" s="7">
        <f t="shared" si="18"/>
        <v>47645.26</v>
      </c>
      <c r="AG51" s="8" t="str">
        <f t="shared" si="19"/>
        <v/>
      </c>
      <c r="AH51" s="7">
        <f t="shared" si="20"/>
        <v>121570.12</v>
      </c>
      <c r="AI51" s="7">
        <f t="shared" si="21"/>
        <v>177504</v>
      </c>
      <c r="AJ51" s="7">
        <f t="shared" si="22"/>
        <v>-55933.880000000005</v>
      </c>
      <c r="AK51" s="8">
        <f t="shared" si="23"/>
        <v>0.68488665044168018</v>
      </c>
      <c r="AL51" s="7">
        <f>AL50</f>
        <v>34319.769999999997</v>
      </c>
      <c r="AM51" s="7">
        <f>AM50</f>
        <v>0</v>
      </c>
      <c r="AN51" s="7">
        <f t="shared" si="24"/>
        <v>34319.769999999997</v>
      </c>
      <c r="AO51" s="8" t="str">
        <f t="shared" si="25"/>
        <v/>
      </c>
      <c r="AP51" s="7">
        <f t="shared" si="26"/>
        <v>609575.74</v>
      </c>
      <c r="AQ51" s="7">
        <f t="shared" si="27"/>
        <v>884604</v>
      </c>
      <c r="AR51" s="7">
        <f t="shared" si="28"/>
        <v>-275028.26</v>
      </c>
      <c r="AS51" s="8">
        <f t="shared" si="29"/>
        <v>0.68909448747688229</v>
      </c>
    </row>
    <row r="52" spans="1:45" x14ac:dyDescent="0.2">
      <c r="A52" s="3" t="s">
        <v>60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x14ac:dyDescent="0.2">
      <c r="A53" s="3" t="s">
        <v>61</v>
      </c>
      <c r="B53" s="4"/>
      <c r="C53" s="4"/>
      <c r="D53" s="5">
        <f>(B53)-(C53)</f>
        <v>0</v>
      </c>
      <c r="E53" s="6" t="str">
        <f>IF(C53=0,"",(B53)/(C53))</f>
        <v/>
      </c>
      <c r="F53" s="4"/>
      <c r="G53" s="4"/>
      <c r="H53" s="5">
        <f>(F53)-(G53)</f>
        <v>0</v>
      </c>
      <c r="I53" s="6" t="str">
        <f>IF(G53=0,"",(F53)/(G53))</f>
        <v/>
      </c>
      <c r="J53" s="5">
        <f t="shared" ref="J53:K57" si="30">(B53)+(F53)</f>
        <v>0</v>
      </c>
      <c r="K53" s="5">
        <f t="shared" si="30"/>
        <v>0</v>
      </c>
      <c r="L53" s="5">
        <f>(J53)-(K53)</f>
        <v>0</v>
      </c>
      <c r="M53" s="6" t="str">
        <f>IF(K53=0,"",(J53)/(K53))</f>
        <v/>
      </c>
      <c r="N53" s="4"/>
      <c r="O53" s="4"/>
      <c r="P53" s="5">
        <f>(N53)-(O53)</f>
        <v>0</v>
      </c>
      <c r="Q53" s="6" t="str">
        <f>IF(O53=0,"",(N53)/(O53))</f>
        <v/>
      </c>
      <c r="R53" s="4"/>
      <c r="S53" s="4"/>
      <c r="T53" s="5">
        <f>(R53)-(S53)</f>
        <v>0</v>
      </c>
      <c r="U53" s="6" t="str">
        <f>IF(S53=0,"",(R53)/(S53))</f>
        <v/>
      </c>
      <c r="V53" s="5">
        <f t="shared" ref="V53:W57" si="31">(N53)+(R53)</f>
        <v>0</v>
      </c>
      <c r="W53" s="5">
        <f t="shared" si="31"/>
        <v>0</v>
      </c>
      <c r="X53" s="5">
        <f>(V53)-(W53)</f>
        <v>0</v>
      </c>
      <c r="Y53" s="6" t="str">
        <f>IF(W53=0,"",(V53)/(W53))</f>
        <v/>
      </c>
      <c r="Z53" s="4"/>
      <c r="AA53" s="4"/>
      <c r="AB53" s="5">
        <f>(Z53)-(AA53)</f>
        <v>0</v>
      </c>
      <c r="AC53" s="6" t="str">
        <f>IF(AA53=0,"",(Z53)/(AA53))</f>
        <v/>
      </c>
      <c r="AD53" s="4"/>
      <c r="AE53" s="4"/>
      <c r="AF53" s="5">
        <f>(AD53)-(AE53)</f>
        <v>0</v>
      </c>
      <c r="AG53" s="6" t="str">
        <f>IF(AE53=0,"",(AD53)/(AE53))</f>
        <v/>
      </c>
      <c r="AH53" s="5">
        <f t="shared" ref="AH53:AI57" si="32">(Z53)+(AD53)</f>
        <v>0</v>
      </c>
      <c r="AI53" s="5">
        <f t="shared" si="32"/>
        <v>0</v>
      </c>
      <c r="AJ53" s="5">
        <f>(AH53)-(AI53)</f>
        <v>0</v>
      </c>
      <c r="AK53" s="6" t="str">
        <f>IF(AI53=0,"",(AH53)/(AI53))</f>
        <v/>
      </c>
      <c r="AL53" s="4"/>
      <c r="AM53" s="4"/>
      <c r="AN53" s="5">
        <f>(AL53)-(AM53)</f>
        <v>0</v>
      </c>
      <c r="AO53" s="6" t="str">
        <f>IF(AM53=0,"",(AL53)/(AM53))</f>
        <v/>
      </c>
      <c r="AP53" s="5">
        <f t="shared" ref="AP53:AQ57" si="33">(((J53)+(V53))+(AH53))+(AL53)</f>
        <v>0</v>
      </c>
      <c r="AQ53" s="5">
        <f t="shared" si="33"/>
        <v>0</v>
      </c>
      <c r="AR53" s="5">
        <f>(AP53)-(AQ53)</f>
        <v>0</v>
      </c>
      <c r="AS53" s="6" t="str">
        <f>IF(AQ53=0,"",(AP53)/(AQ53))</f>
        <v/>
      </c>
    </row>
    <row r="54" spans="1:45" x14ac:dyDescent="0.2">
      <c r="A54" s="3" t="s">
        <v>62</v>
      </c>
      <c r="B54" s="4"/>
      <c r="C54" s="4"/>
      <c r="D54" s="5">
        <f>(B54)-(C54)</f>
        <v>0</v>
      </c>
      <c r="E54" s="6" t="str">
        <f>IF(C54=0,"",(B54)/(C54))</f>
        <v/>
      </c>
      <c r="F54" s="4"/>
      <c r="G54" s="4"/>
      <c r="H54" s="5">
        <f>(F54)-(G54)</f>
        <v>0</v>
      </c>
      <c r="I54" s="6" t="str">
        <f>IF(G54=0,"",(F54)/(G54))</f>
        <v/>
      </c>
      <c r="J54" s="5">
        <f t="shared" si="30"/>
        <v>0</v>
      </c>
      <c r="K54" s="5">
        <f t="shared" si="30"/>
        <v>0</v>
      </c>
      <c r="L54" s="5">
        <f>(J54)-(K54)</f>
        <v>0</v>
      </c>
      <c r="M54" s="6" t="str">
        <f>IF(K54=0,"",(J54)/(K54))</f>
        <v/>
      </c>
      <c r="N54" s="4"/>
      <c r="O54" s="4"/>
      <c r="P54" s="5">
        <f>(N54)-(O54)</f>
        <v>0</v>
      </c>
      <c r="Q54" s="6" t="str">
        <f>IF(O54=0,"",(N54)/(O54))</f>
        <v/>
      </c>
      <c r="R54" s="4"/>
      <c r="S54" s="4"/>
      <c r="T54" s="5">
        <f>(R54)-(S54)</f>
        <v>0</v>
      </c>
      <c r="U54" s="6" t="str">
        <f>IF(S54=0,"",(R54)/(S54))</f>
        <v/>
      </c>
      <c r="V54" s="5">
        <f t="shared" si="31"/>
        <v>0</v>
      </c>
      <c r="W54" s="5">
        <f t="shared" si="31"/>
        <v>0</v>
      </c>
      <c r="X54" s="5">
        <f>(V54)-(W54)</f>
        <v>0</v>
      </c>
      <c r="Y54" s="6" t="str">
        <f>IF(W54=0,"",(V54)/(W54))</f>
        <v/>
      </c>
      <c r="Z54" s="5">
        <f>24772.71</f>
        <v>24772.71</v>
      </c>
      <c r="AA54" s="5">
        <f>24300</f>
        <v>24300</v>
      </c>
      <c r="AB54" s="5">
        <f>(Z54)-(AA54)</f>
        <v>472.70999999999913</v>
      </c>
      <c r="AC54" s="6">
        <f>IF(AA54=0,"",(Z54)/(AA54))</f>
        <v>1.0194530864197531</v>
      </c>
      <c r="AD54" s="4"/>
      <c r="AE54" s="4"/>
      <c r="AF54" s="5">
        <f>(AD54)-(AE54)</f>
        <v>0</v>
      </c>
      <c r="AG54" s="6" t="str">
        <f>IF(AE54=0,"",(AD54)/(AE54))</f>
        <v/>
      </c>
      <c r="AH54" s="5">
        <f t="shared" si="32"/>
        <v>24772.71</v>
      </c>
      <c r="AI54" s="5">
        <f t="shared" si="32"/>
        <v>24300</v>
      </c>
      <c r="AJ54" s="5">
        <f>(AH54)-(AI54)</f>
        <v>472.70999999999913</v>
      </c>
      <c r="AK54" s="6">
        <f>IF(AI54=0,"",(AH54)/(AI54))</f>
        <v>1.0194530864197531</v>
      </c>
      <c r="AL54" s="4"/>
      <c r="AM54" s="4"/>
      <c r="AN54" s="5">
        <f>(AL54)-(AM54)</f>
        <v>0</v>
      </c>
      <c r="AO54" s="6" t="str">
        <f>IF(AM54=0,"",(AL54)/(AM54))</f>
        <v/>
      </c>
      <c r="AP54" s="5">
        <f t="shared" si="33"/>
        <v>24772.71</v>
      </c>
      <c r="AQ54" s="5">
        <f t="shared" si="33"/>
        <v>24300</v>
      </c>
      <c r="AR54" s="5">
        <f>(AP54)-(AQ54)</f>
        <v>472.70999999999913</v>
      </c>
      <c r="AS54" s="6">
        <f>IF(AQ54=0,"",(AP54)/(AQ54))</f>
        <v>1.0194530864197531</v>
      </c>
    </row>
    <row r="55" spans="1:45" x14ac:dyDescent="0.2">
      <c r="A55" s="3" t="s">
        <v>63</v>
      </c>
      <c r="B55" s="7">
        <f>(B53)+(B54)</f>
        <v>0</v>
      </c>
      <c r="C55" s="7">
        <f>(C53)+(C54)</f>
        <v>0</v>
      </c>
      <c r="D55" s="7">
        <f>(B55)-(C55)</f>
        <v>0</v>
      </c>
      <c r="E55" s="8" t="str">
        <f>IF(C55=0,"",(B55)/(C55))</f>
        <v/>
      </c>
      <c r="F55" s="7">
        <f>(F53)+(F54)</f>
        <v>0</v>
      </c>
      <c r="G55" s="7">
        <f>(G53)+(G54)</f>
        <v>0</v>
      </c>
      <c r="H55" s="7">
        <f>(F55)-(G55)</f>
        <v>0</v>
      </c>
      <c r="I55" s="8" t="str">
        <f>IF(G55=0,"",(F55)/(G55))</f>
        <v/>
      </c>
      <c r="J55" s="7">
        <f t="shared" si="30"/>
        <v>0</v>
      </c>
      <c r="K55" s="7">
        <f t="shared" si="30"/>
        <v>0</v>
      </c>
      <c r="L55" s="7">
        <f>(J55)-(K55)</f>
        <v>0</v>
      </c>
      <c r="M55" s="8" t="str">
        <f>IF(K55=0,"",(J55)/(K55))</f>
        <v/>
      </c>
      <c r="N55" s="7">
        <f>(N53)+(N54)</f>
        <v>0</v>
      </c>
      <c r="O55" s="7">
        <f>(O53)+(O54)</f>
        <v>0</v>
      </c>
      <c r="P55" s="7">
        <f>(N55)-(O55)</f>
        <v>0</v>
      </c>
      <c r="Q55" s="8" t="str">
        <f>IF(O55=0,"",(N55)/(O55))</f>
        <v/>
      </c>
      <c r="R55" s="7">
        <f>(R53)+(R54)</f>
        <v>0</v>
      </c>
      <c r="S55" s="7">
        <f>(S53)+(S54)</f>
        <v>0</v>
      </c>
      <c r="T55" s="7">
        <f>(R55)-(S55)</f>
        <v>0</v>
      </c>
      <c r="U55" s="8" t="str">
        <f>IF(S55=0,"",(R55)/(S55))</f>
        <v/>
      </c>
      <c r="V55" s="7">
        <f t="shared" si="31"/>
        <v>0</v>
      </c>
      <c r="W55" s="7">
        <f t="shared" si="31"/>
        <v>0</v>
      </c>
      <c r="X55" s="7">
        <f>(V55)-(W55)</f>
        <v>0</v>
      </c>
      <c r="Y55" s="8" t="str">
        <f>IF(W55=0,"",(V55)/(W55))</f>
        <v/>
      </c>
      <c r="Z55" s="7">
        <f>(Z53)+(Z54)</f>
        <v>24772.71</v>
      </c>
      <c r="AA55" s="7">
        <f>(AA53)+(AA54)</f>
        <v>24300</v>
      </c>
      <c r="AB55" s="7">
        <f>(Z55)-(AA55)</f>
        <v>472.70999999999913</v>
      </c>
      <c r="AC55" s="8">
        <f>IF(AA55=0,"",(Z55)/(AA55))</f>
        <v>1.0194530864197531</v>
      </c>
      <c r="AD55" s="7">
        <f>(AD53)+(AD54)</f>
        <v>0</v>
      </c>
      <c r="AE55" s="7">
        <f>(AE53)+(AE54)</f>
        <v>0</v>
      </c>
      <c r="AF55" s="7">
        <f>(AD55)-(AE55)</f>
        <v>0</v>
      </c>
      <c r="AG55" s="8" t="str">
        <f>IF(AE55=0,"",(AD55)/(AE55))</f>
        <v/>
      </c>
      <c r="AH55" s="7">
        <f t="shared" si="32"/>
        <v>24772.71</v>
      </c>
      <c r="AI55" s="7">
        <f t="shared" si="32"/>
        <v>24300</v>
      </c>
      <c r="AJ55" s="7">
        <f>(AH55)-(AI55)</f>
        <v>472.70999999999913</v>
      </c>
      <c r="AK55" s="8">
        <f>IF(AI55=0,"",(AH55)/(AI55))</f>
        <v>1.0194530864197531</v>
      </c>
      <c r="AL55" s="7">
        <f>(AL53)+(AL54)</f>
        <v>0</v>
      </c>
      <c r="AM55" s="7">
        <f>(AM53)+(AM54)</f>
        <v>0</v>
      </c>
      <c r="AN55" s="7">
        <f>(AL55)-(AM55)</f>
        <v>0</v>
      </c>
      <c r="AO55" s="8" t="str">
        <f>IF(AM55=0,"",(AL55)/(AM55))</f>
        <v/>
      </c>
      <c r="AP55" s="7">
        <f t="shared" si="33"/>
        <v>24772.71</v>
      </c>
      <c r="AQ55" s="7">
        <f t="shared" si="33"/>
        <v>24300</v>
      </c>
      <c r="AR55" s="7">
        <f>(AP55)-(AQ55)</f>
        <v>472.70999999999913</v>
      </c>
      <c r="AS55" s="8">
        <f>IF(AQ55=0,"",(AP55)/(AQ55))</f>
        <v>1.0194530864197531</v>
      </c>
    </row>
    <row r="56" spans="1:45" x14ac:dyDescent="0.2">
      <c r="A56" s="3" t="s">
        <v>64</v>
      </c>
      <c r="B56" s="7">
        <f>B55</f>
        <v>0</v>
      </c>
      <c r="C56" s="7">
        <f>C55</f>
        <v>0</v>
      </c>
      <c r="D56" s="7">
        <f>(B56)-(C56)</f>
        <v>0</v>
      </c>
      <c r="E56" s="8" t="str">
        <f>IF(C56=0,"",(B56)/(C56))</f>
        <v/>
      </c>
      <c r="F56" s="7">
        <f>F55</f>
        <v>0</v>
      </c>
      <c r="G56" s="7">
        <f>G55</f>
        <v>0</v>
      </c>
      <c r="H56" s="7">
        <f>(F56)-(G56)</f>
        <v>0</v>
      </c>
      <c r="I56" s="8" t="str">
        <f>IF(G56=0,"",(F56)/(G56))</f>
        <v/>
      </c>
      <c r="J56" s="7">
        <f t="shared" si="30"/>
        <v>0</v>
      </c>
      <c r="K56" s="7">
        <f t="shared" si="30"/>
        <v>0</v>
      </c>
      <c r="L56" s="7">
        <f>(J56)-(K56)</f>
        <v>0</v>
      </c>
      <c r="M56" s="8" t="str">
        <f>IF(K56=0,"",(J56)/(K56))</f>
        <v/>
      </c>
      <c r="N56" s="7">
        <f>N55</f>
        <v>0</v>
      </c>
      <c r="O56" s="7">
        <f>O55</f>
        <v>0</v>
      </c>
      <c r="P56" s="7">
        <f>(N56)-(O56)</f>
        <v>0</v>
      </c>
      <c r="Q56" s="8" t="str">
        <f>IF(O56=0,"",(N56)/(O56))</f>
        <v/>
      </c>
      <c r="R56" s="7">
        <f>R55</f>
        <v>0</v>
      </c>
      <c r="S56" s="7">
        <f>S55</f>
        <v>0</v>
      </c>
      <c r="T56" s="7">
        <f>(R56)-(S56)</f>
        <v>0</v>
      </c>
      <c r="U56" s="8" t="str">
        <f>IF(S56=0,"",(R56)/(S56))</f>
        <v/>
      </c>
      <c r="V56" s="7">
        <f t="shared" si="31"/>
        <v>0</v>
      </c>
      <c r="W56" s="7">
        <f t="shared" si="31"/>
        <v>0</v>
      </c>
      <c r="X56" s="7">
        <f>(V56)-(W56)</f>
        <v>0</v>
      </c>
      <c r="Y56" s="8" t="str">
        <f>IF(W56=0,"",(V56)/(W56))</f>
        <v/>
      </c>
      <c r="Z56" s="7">
        <f>Z55</f>
        <v>24772.71</v>
      </c>
      <c r="AA56" s="7">
        <f>AA55</f>
        <v>24300</v>
      </c>
      <c r="AB56" s="7">
        <f>(Z56)-(AA56)</f>
        <v>472.70999999999913</v>
      </c>
      <c r="AC56" s="8">
        <f>IF(AA56=0,"",(Z56)/(AA56))</f>
        <v>1.0194530864197531</v>
      </c>
      <c r="AD56" s="7">
        <f>AD55</f>
        <v>0</v>
      </c>
      <c r="AE56" s="7">
        <f>AE55</f>
        <v>0</v>
      </c>
      <c r="AF56" s="7">
        <f>(AD56)-(AE56)</f>
        <v>0</v>
      </c>
      <c r="AG56" s="8" t="str">
        <f>IF(AE56=0,"",(AD56)/(AE56))</f>
        <v/>
      </c>
      <c r="AH56" s="7">
        <f t="shared" si="32"/>
        <v>24772.71</v>
      </c>
      <c r="AI56" s="7">
        <f t="shared" si="32"/>
        <v>24300</v>
      </c>
      <c r="AJ56" s="7">
        <f>(AH56)-(AI56)</f>
        <v>472.70999999999913</v>
      </c>
      <c r="AK56" s="8">
        <f>IF(AI56=0,"",(AH56)/(AI56))</f>
        <v>1.0194530864197531</v>
      </c>
      <c r="AL56" s="7">
        <f>AL55</f>
        <v>0</v>
      </c>
      <c r="AM56" s="7">
        <f>AM55</f>
        <v>0</v>
      </c>
      <c r="AN56" s="7">
        <f>(AL56)-(AM56)</f>
        <v>0</v>
      </c>
      <c r="AO56" s="8" t="str">
        <f>IF(AM56=0,"",(AL56)/(AM56))</f>
        <v/>
      </c>
      <c r="AP56" s="7">
        <f t="shared" si="33"/>
        <v>24772.71</v>
      </c>
      <c r="AQ56" s="7">
        <f t="shared" si="33"/>
        <v>24300</v>
      </c>
      <c r="AR56" s="7">
        <f>(AP56)-(AQ56)</f>
        <v>472.70999999999913</v>
      </c>
      <c r="AS56" s="8">
        <f>IF(AQ56=0,"",(AP56)/(AQ56))</f>
        <v>1.0194530864197531</v>
      </c>
    </row>
    <row r="57" spans="1:45" x14ac:dyDescent="0.2">
      <c r="A57" s="3" t="s">
        <v>65</v>
      </c>
      <c r="B57" s="7">
        <f>(B51)-(B56)</f>
        <v>45013.46</v>
      </c>
      <c r="C57" s="7">
        <f>(C51)-(C56)</f>
        <v>439140</v>
      </c>
      <c r="D57" s="7">
        <f>(B57)-(C57)</f>
        <v>-394126.54</v>
      </c>
      <c r="E57" s="8">
        <f>IF(C57=0,"",(B57)/(C57))</f>
        <v>0.10250366625677461</v>
      </c>
      <c r="F57" s="7">
        <f>(F51)-(F56)</f>
        <v>274886.18</v>
      </c>
      <c r="G57" s="7">
        <f>(G51)-(G56)</f>
        <v>0</v>
      </c>
      <c r="H57" s="7">
        <f>(F57)-(G57)</f>
        <v>274886.18</v>
      </c>
      <c r="I57" s="8" t="str">
        <f>IF(G57=0,"",(F57)/(G57))</f>
        <v/>
      </c>
      <c r="J57" s="7">
        <f t="shared" si="30"/>
        <v>319899.64</v>
      </c>
      <c r="K57" s="7">
        <f t="shared" si="30"/>
        <v>439140</v>
      </c>
      <c r="L57" s="7">
        <f>(J57)-(K57)</f>
        <v>-119240.35999999999</v>
      </c>
      <c r="M57" s="8">
        <f>IF(K57=0,"",(J57)/(K57))</f>
        <v>0.72846846108302599</v>
      </c>
      <c r="N57" s="7">
        <f>(N51)-(N56)</f>
        <v>104212.18</v>
      </c>
      <c r="O57" s="7">
        <f>(O51)-(O56)</f>
        <v>267960</v>
      </c>
      <c r="P57" s="7">
        <f>(N57)-(O57)</f>
        <v>-163747.82</v>
      </c>
      <c r="Q57" s="8">
        <f>IF(O57=0,"",(N57)/(O57))</f>
        <v>0.38890946409911925</v>
      </c>
      <c r="R57" s="7">
        <f>(R51)-(R56)</f>
        <v>29574.03</v>
      </c>
      <c r="S57" s="7">
        <f>(S51)-(S56)</f>
        <v>0</v>
      </c>
      <c r="T57" s="7">
        <f>(R57)-(S57)</f>
        <v>29574.03</v>
      </c>
      <c r="U57" s="8" t="str">
        <f>IF(S57=0,"",(R57)/(S57))</f>
        <v/>
      </c>
      <c r="V57" s="7">
        <f t="shared" si="31"/>
        <v>133786.21</v>
      </c>
      <c r="W57" s="7">
        <f t="shared" si="31"/>
        <v>267960</v>
      </c>
      <c r="X57" s="7">
        <f>(V57)-(W57)</f>
        <v>-134173.79</v>
      </c>
      <c r="Y57" s="8">
        <f>IF(W57=0,"",(V57)/(W57))</f>
        <v>0.49927679504403638</v>
      </c>
      <c r="Z57" s="7">
        <f>(Z51)-(Z56)</f>
        <v>49152.15</v>
      </c>
      <c r="AA57" s="7">
        <f>(AA51)-(AA56)</f>
        <v>153204</v>
      </c>
      <c r="AB57" s="7">
        <f>(Z57)-(AA57)</f>
        <v>-104051.85</v>
      </c>
      <c r="AC57" s="8">
        <f>IF(AA57=0,"",(Z57)/(AA57))</f>
        <v>0.3208281115375578</v>
      </c>
      <c r="AD57" s="7">
        <f>(AD51)-(AD56)</f>
        <v>47645.26</v>
      </c>
      <c r="AE57" s="7">
        <f>(AE51)-(AE56)</f>
        <v>0</v>
      </c>
      <c r="AF57" s="7">
        <f>(AD57)-(AE57)</f>
        <v>47645.26</v>
      </c>
      <c r="AG57" s="8" t="str">
        <f>IF(AE57=0,"",(AD57)/(AE57))</f>
        <v/>
      </c>
      <c r="AH57" s="7">
        <f t="shared" si="32"/>
        <v>96797.41</v>
      </c>
      <c r="AI57" s="7">
        <f t="shared" si="32"/>
        <v>153204</v>
      </c>
      <c r="AJ57" s="7">
        <f>(AH57)-(AI57)</f>
        <v>-56406.59</v>
      </c>
      <c r="AK57" s="8">
        <f>IF(AI57=0,"",(AH57)/(AI57))</f>
        <v>0.63182038327980994</v>
      </c>
      <c r="AL57" s="7">
        <f>(AL51)-(AL56)</f>
        <v>34319.769999999997</v>
      </c>
      <c r="AM57" s="7">
        <f>(AM51)-(AM56)</f>
        <v>0</v>
      </c>
      <c r="AN57" s="7">
        <f>(AL57)-(AM57)</f>
        <v>34319.769999999997</v>
      </c>
      <c r="AO57" s="8" t="str">
        <f>IF(AM57=0,"",(AL57)/(AM57))</f>
        <v/>
      </c>
      <c r="AP57" s="7">
        <f t="shared" si="33"/>
        <v>584803.03</v>
      </c>
      <c r="AQ57" s="7">
        <f t="shared" si="33"/>
        <v>860304</v>
      </c>
      <c r="AR57" s="7">
        <f>(AP57)-(AQ57)</f>
        <v>-275500.96999999997</v>
      </c>
      <c r="AS57" s="8">
        <f>IF(AQ57=0,"",(AP57)/(AQ57))</f>
        <v>0.67976323485651591</v>
      </c>
    </row>
    <row r="58" spans="1:45" x14ac:dyDescent="0.2">
      <c r="A58" s="3" t="s">
        <v>66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5" x14ac:dyDescent="0.2">
      <c r="A59" s="3" t="s">
        <v>67</v>
      </c>
      <c r="B59" s="4"/>
      <c r="C59" s="4"/>
      <c r="D59" s="5">
        <f t="shared" ref="D59:D90" si="34">(B59)-(C59)</f>
        <v>0</v>
      </c>
      <c r="E59" s="6" t="str">
        <f t="shared" ref="E59:E90" si="35">IF(C59=0,"",(B59)/(C59))</f>
        <v/>
      </c>
      <c r="F59" s="4"/>
      <c r="G59" s="4"/>
      <c r="H59" s="5">
        <f t="shared" ref="H59:H90" si="36">(F59)-(G59)</f>
        <v>0</v>
      </c>
      <c r="I59" s="6" t="str">
        <f t="shared" ref="I59:I90" si="37">IF(G59=0,"",(F59)/(G59))</f>
        <v/>
      </c>
      <c r="J59" s="5">
        <f t="shared" ref="J59:J90" si="38">(B59)+(F59)</f>
        <v>0</v>
      </c>
      <c r="K59" s="5">
        <f t="shared" ref="K59:K90" si="39">(C59)+(G59)</f>
        <v>0</v>
      </c>
      <c r="L59" s="5">
        <f t="shared" ref="L59:L90" si="40">(J59)-(K59)</f>
        <v>0</v>
      </c>
      <c r="M59" s="6" t="str">
        <f t="shared" ref="M59:M90" si="41">IF(K59=0,"",(J59)/(K59))</f>
        <v/>
      </c>
      <c r="N59" s="4"/>
      <c r="O59" s="4"/>
      <c r="P59" s="5">
        <f t="shared" ref="P59:P90" si="42">(N59)-(O59)</f>
        <v>0</v>
      </c>
      <c r="Q59" s="6" t="str">
        <f t="shared" ref="Q59:Q90" si="43">IF(O59=0,"",(N59)/(O59))</f>
        <v/>
      </c>
      <c r="R59" s="4"/>
      <c r="S59" s="4"/>
      <c r="T59" s="5">
        <f t="shared" ref="T59:T90" si="44">(R59)-(S59)</f>
        <v>0</v>
      </c>
      <c r="U59" s="6" t="str">
        <f t="shared" ref="U59:U90" si="45">IF(S59=0,"",(R59)/(S59))</f>
        <v/>
      </c>
      <c r="V59" s="5">
        <f t="shared" ref="V59:V90" si="46">(N59)+(R59)</f>
        <v>0</v>
      </c>
      <c r="W59" s="5">
        <f t="shared" ref="W59:W90" si="47">(O59)+(S59)</f>
        <v>0</v>
      </c>
      <c r="X59" s="5">
        <f t="shared" ref="X59:X90" si="48">(V59)-(W59)</f>
        <v>0</v>
      </c>
      <c r="Y59" s="6" t="str">
        <f t="shared" ref="Y59:Y90" si="49">IF(W59=0,"",(V59)/(W59))</f>
        <v/>
      </c>
      <c r="Z59" s="4"/>
      <c r="AA59" s="4"/>
      <c r="AB59" s="5">
        <f t="shared" ref="AB59:AB90" si="50">(Z59)-(AA59)</f>
        <v>0</v>
      </c>
      <c r="AC59" s="6" t="str">
        <f t="shared" ref="AC59:AC90" si="51">IF(AA59=0,"",(Z59)/(AA59))</f>
        <v/>
      </c>
      <c r="AD59" s="4"/>
      <c r="AE59" s="4"/>
      <c r="AF59" s="5">
        <f t="shared" ref="AF59:AF90" si="52">(AD59)-(AE59)</f>
        <v>0</v>
      </c>
      <c r="AG59" s="6" t="str">
        <f t="shared" ref="AG59:AG90" si="53">IF(AE59=0,"",(AD59)/(AE59))</f>
        <v/>
      </c>
      <c r="AH59" s="5">
        <f t="shared" ref="AH59:AH90" si="54">(Z59)+(AD59)</f>
        <v>0</v>
      </c>
      <c r="AI59" s="5">
        <f t="shared" ref="AI59:AI90" si="55">(AA59)+(AE59)</f>
        <v>0</v>
      </c>
      <c r="AJ59" s="5">
        <f t="shared" ref="AJ59:AJ90" si="56">(AH59)-(AI59)</f>
        <v>0</v>
      </c>
      <c r="AK59" s="6" t="str">
        <f t="shared" ref="AK59:AK90" si="57">IF(AI59=0,"",(AH59)/(AI59))</f>
        <v/>
      </c>
      <c r="AL59" s="4"/>
      <c r="AM59" s="4"/>
      <c r="AN59" s="5">
        <f t="shared" ref="AN59:AN90" si="58">(AL59)-(AM59)</f>
        <v>0</v>
      </c>
      <c r="AO59" s="6" t="str">
        <f t="shared" ref="AO59:AO90" si="59">IF(AM59=0,"",(AL59)/(AM59))</f>
        <v/>
      </c>
      <c r="AP59" s="5">
        <f t="shared" ref="AP59:AP90" si="60">(((J59)+(V59))+(AH59))+(AL59)</f>
        <v>0</v>
      </c>
      <c r="AQ59" s="5">
        <f t="shared" ref="AQ59:AQ90" si="61">(((K59)+(W59))+(AI59))+(AM59)</f>
        <v>0</v>
      </c>
      <c r="AR59" s="5">
        <f t="shared" ref="AR59:AR90" si="62">(AP59)-(AQ59)</f>
        <v>0</v>
      </c>
      <c r="AS59" s="6" t="str">
        <f t="shared" ref="AS59:AS90" si="63">IF(AQ59=0,"",(AP59)/(AQ59))</f>
        <v/>
      </c>
    </row>
    <row r="60" spans="1:45" x14ac:dyDescent="0.2">
      <c r="A60" s="3" t="s">
        <v>68</v>
      </c>
      <c r="B60" s="5">
        <f>111.78</f>
        <v>111.78</v>
      </c>
      <c r="C60" s="4"/>
      <c r="D60" s="5">
        <f t="shared" si="34"/>
        <v>111.78</v>
      </c>
      <c r="E60" s="6" t="str">
        <f t="shared" si="35"/>
        <v/>
      </c>
      <c r="F60" s="4"/>
      <c r="G60" s="4"/>
      <c r="H60" s="5">
        <f t="shared" si="36"/>
        <v>0</v>
      </c>
      <c r="I60" s="6" t="str">
        <f t="shared" si="37"/>
        <v/>
      </c>
      <c r="J60" s="5">
        <f t="shared" si="38"/>
        <v>111.78</v>
      </c>
      <c r="K60" s="5">
        <f t="shared" si="39"/>
        <v>0</v>
      </c>
      <c r="L60" s="5">
        <f t="shared" si="40"/>
        <v>111.78</v>
      </c>
      <c r="M60" s="6" t="str">
        <f t="shared" si="41"/>
        <v/>
      </c>
      <c r="N60" s="5">
        <f>741.6</f>
        <v>741.6</v>
      </c>
      <c r="O60" s="4"/>
      <c r="P60" s="5">
        <f t="shared" si="42"/>
        <v>741.6</v>
      </c>
      <c r="Q60" s="6" t="str">
        <f t="shared" si="43"/>
        <v/>
      </c>
      <c r="R60" s="4"/>
      <c r="S60" s="4"/>
      <c r="T60" s="5">
        <f t="shared" si="44"/>
        <v>0</v>
      </c>
      <c r="U60" s="6" t="str">
        <f t="shared" si="45"/>
        <v/>
      </c>
      <c r="V60" s="5">
        <f t="shared" si="46"/>
        <v>741.6</v>
      </c>
      <c r="W60" s="5">
        <f t="shared" si="47"/>
        <v>0</v>
      </c>
      <c r="X60" s="5">
        <f t="shared" si="48"/>
        <v>741.6</v>
      </c>
      <c r="Y60" s="6" t="str">
        <f t="shared" si="49"/>
        <v/>
      </c>
      <c r="Z60" s="5">
        <f>741.6</f>
        <v>741.6</v>
      </c>
      <c r="AA60" s="4"/>
      <c r="AB60" s="5">
        <f t="shared" si="50"/>
        <v>741.6</v>
      </c>
      <c r="AC60" s="6" t="str">
        <f t="shared" si="51"/>
        <v/>
      </c>
      <c r="AD60" s="4"/>
      <c r="AE60" s="4"/>
      <c r="AF60" s="5">
        <f t="shared" si="52"/>
        <v>0</v>
      </c>
      <c r="AG60" s="6" t="str">
        <f t="shared" si="53"/>
        <v/>
      </c>
      <c r="AH60" s="5">
        <f t="shared" si="54"/>
        <v>741.6</v>
      </c>
      <c r="AI60" s="5">
        <f t="shared" si="55"/>
        <v>0</v>
      </c>
      <c r="AJ60" s="5">
        <f t="shared" si="56"/>
        <v>741.6</v>
      </c>
      <c r="AK60" s="6" t="str">
        <f t="shared" si="57"/>
        <v/>
      </c>
      <c r="AL60" s="4"/>
      <c r="AM60" s="4"/>
      <c r="AN60" s="5">
        <f t="shared" si="58"/>
        <v>0</v>
      </c>
      <c r="AO60" s="6" t="str">
        <f t="shared" si="59"/>
        <v/>
      </c>
      <c r="AP60" s="5">
        <f t="shared" si="60"/>
        <v>1594.98</v>
      </c>
      <c r="AQ60" s="5">
        <f t="shared" si="61"/>
        <v>0</v>
      </c>
      <c r="AR60" s="5">
        <f t="shared" si="62"/>
        <v>1594.98</v>
      </c>
      <c r="AS60" s="6" t="str">
        <f t="shared" si="63"/>
        <v/>
      </c>
    </row>
    <row r="61" spans="1:45" x14ac:dyDescent="0.2">
      <c r="A61" s="3" t="s">
        <v>69</v>
      </c>
      <c r="B61" s="4"/>
      <c r="C61" s="4"/>
      <c r="D61" s="5">
        <f t="shared" si="34"/>
        <v>0</v>
      </c>
      <c r="E61" s="6" t="str">
        <f t="shared" si="35"/>
        <v/>
      </c>
      <c r="F61" s="4"/>
      <c r="G61" s="4"/>
      <c r="H61" s="5">
        <f t="shared" si="36"/>
        <v>0</v>
      </c>
      <c r="I61" s="6" t="str">
        <f t="shared" si="37"/>
        <v/>
      </c>
      <c r="J61" s="5">
        <f t="shared" si="38"/>
        <v>0</v>
      </c>
      <c r="K61" s="5">
        <f t="shared" si="39"/>
        <v>0</v>
      </c>
      <c r="L61" s="5">
        <f t="shared" si="40"/>
        <v>0</v>
      </c>
      <c r="M61" s="6" t="str">
        <f t="shared" si="41"/>
        <v/>
      </c>
      <c r="N61" s="5">
        <f>794</f>
        <v>794</v>
      </c>
      <c r="O61" s="5">
        <f>500</f>
        <v>500</v>
      </c>
      <c r="P61" s="5">
        <f t="shared" si="42"/>
        <v>294</v>
      </c>
      <c r="Q61" s="6">
        <f t="shared" si="43"/>
        <v>1.5880000000000001</v>
      </c>
      <c r="R61" s="4"/>
      <c r="S61" s="4"/>
      <c r="T61" s="5">
        <f t="shared" si="44"/>
        <v>0</v>
      </c>
      <c r="U61" s="6" t="str">
        <f t="shared" si="45"/>
        <v/>
      </c>
      <c r="V61" s="5">
        <f t="shared" si="46"/>
        <v>794</v>
      </c>
      <c r="W61" s="5">
        <f t="shared" si="47"/>
        <v>500</v>
      </c>
      <c r="X61" s="5">
        <f t="shared" si="48"/>
        <v>294</v>
      </c>
      <c r="Y61" s="6">
        <f t="shared" si="49"/>
        <v>1.5880000000000001</v>
      </c>
      <c r="Z61" s="5">
        <f>423</f>
        <v>423</v>
      </c>
      <c r="AA61" s="5">
        <f>800</f>
        <v>800</v>
      </c>
      <c r="AB61" s="5">
        <f t="shared" si="50"/>
        <v>-377</v>
      </c>
      <c r="AC61" s="6">
        <f t="shared" si="51"/>
        <v>0.52875000000000005</v>
      </c>
      <c r="AD61" s="4"/>
      <c r="AE61" s="4"/>
      <c r="AF61" s="5">
        <f t="shared" si="52"/>
        <v>0</v>
      </c>
      <c r="AG61" s="6" t="str">
        <f t="shared" si="53"/>
        <v/>
      </c>
      <c r="AH61" s="5">
        <f t="shared" si="54"/>
        <v>423</v>
      </c>
      <c r="AI61" s="5">
        <f t="shared" si="55"/>
        <v>800</v>
      </c>
      <c r="AJ61" s="5">
        <f t="shared" si="56"/>
        <v>-377</v>
      </c>
      <c r="AK61" s="6">
        <f t="shared" si="57"/>
        <v>0.52875000000000005</v>
      </c>
      <c r="AL61" s="5">
        <f>0</f>
        <v>0</v>
      </c>
      <c r="AM61" s="4"/>
      <c r="AN61" s="5">
        <f t="shared" si="58"/>
        <v>0</v>
      </c>
      <c r="AO61" s="6" t="str">
        <f t="shared" si="59"/>
        <v/>
      </c>
      <c r="AP61" s="5">
        <f t="shared" si="60"/>
        <v>1217</v>
      </c>
      <c r="AQ61" s="5">
        <f t="shared" si="61"/>
        <v>1300</v>
      </c>
      <c r="AR61" s="5">
        <f t="shared" si="62"/>
        <v>-83</v>
      </c>
      <c r="AS61" s="6">
        <f t="shared" si="63"/>
        <v>0.93615384615384611</v>
      </c>
    </row>
    <row r="62" spans="1:45" x14ac:dyDescent="0.2">
      <c r="A62" s="3" t="s">
        <v>70</v>
      </c>
      <c r="B62" s="4"/>
      <c r="C62" s="4"/>
      <c r="D62" s="5">
        <f t="shared" si="34"/>
        <v>0</v>
      </c>
      <c r="E62" s="6" t="str">
        <f t="shared" si="35"/>
        <v/>
      </c>
      <c r="F62" s="4"/>
      <c r="G62" s="4"/>
      <c r="H62" s="5">
        <f t="shared" si="36"/>
        <v>0</v>
      </c>
      <c r="I62" s="6" t="str">
        <f t="shared" si="37"/>
        <v/>
      </c>
      <c r="J62" s="5">
        <f t="shared" si="38"/>
        <v>0</v>
      </c>
      <c r="K62" s="5">
        <f t="shared" si="39"/>
        <v>0</v>
      </c>
      <c r="L62" s="5">
        <f t="shared" si="40"/>
        <v>0</v>
      </c>
      <c r="M62" s="6" t="str">
        <f t="shared" si="41"/>
        <v/>
      </c>
      <c r="N62" s="4"/>
      <c r="O62" s="4"/>
      <c r="P62" s="5">
        <f t="shared" si="42"/>
        <v>0</v>
      </c>
      <c r="Q62" s="6" t="str">
        <f t="shared" si="43"/>
        <v/>
      </c>
      <c r="R62" s="4"/>
      <c r="S62" s="4"/>
      <c r="T62" s="5">
        <f t="shared" si="44"/>
        <v>0</v>
      </c>
      <c r="U62" s="6" t="str">
        <f t="shared" si="45"/>
        <v/>
      </c>
      <c r="V62" s="5">
        <f t="shared" si="46"/>
        <v>0</v>
      </c>
      <c r="W62" s="5">
        <f t="shared" si="47"/>
        <v>0</v>
      </c>
      <c r="X62" s="5">
        <f t="shared" si="48"/>
        <v>0</v>
      </c>
      <c r="Y62" s="6" t="str">
        <f t="shared" si="49"/>
        <v/>
      </c>
      <c r="Z62" s="4"/>
      <c r="AA62" s="4"/>
      <c r="AB62" s="5">
        <f t="shared" si="50"/>
        <v>0</v>
      </c>
      <c r="AC62" s="6" t="str">
        <f t="shared" si="51"/>
        <v/>
      </c>
      <c r="AD62" s="4"/>
      <c r="AE62" s="4"/>
      <c r="AF62" s="5">
        <f t="shared" si="52"/>
        <v>0</v>
      </c>
      <c r="AG62" s="6" t="str">
        <f t="shared" si="53"/>
        <v/>
      </c>
      <c r="AH62" s="5">
        <f t="shared" si="54"/>
        <v>0</v>
      </c>
      <c r="AI62" s="5">
        <f t="shared" si="55"/>
        <v>0</v>
      </c>
      <c r="AJ62" s="5">
        <f t="shared" si="56"/>
        <v>0</v>
      </c>
      <c r="AK62" s="6" t="str">
        <f t="shared" si="57"/>
        <v/>
      </c>
      <c r="AL62" s="4"/>
      <c r="AM62" s="4"/>
      <c r="AN62" s="5">
        <f t="shared" si="58"/>
        <v>0</v>
      </c>
      <c r="AO62" s="6" t="str">
        <f t="shared" si="59"/>
        <v/>
      </c>
      <c r="AP62" s="5">
        <f t="shared" si="60"/>
        <v>0</v>
      </c>
      <c r="AQ62" s="5">
        <f t="shared" si="61"/>
        <v>0</v>
      </c>
      <c r="AR62" s="5">
        <f t="shared" si="62"/>
        <v>0</v>
      </c>
      <c r="AS62" s="6" t="str">
        <f t="shared" si="63"/>
        <v/>
      </c>
    </row>
    <row r="63" spans="1:45" x14ac:dyDescent="0.2">
      <c r="A63" s="3" t="s">
        <v>71</v>
      </c>
      <c r="B63" s="5">
        <f>12550.02</f>
        <v>12550.02</v>
      </c>
      <c r="C63" s="4"/>
      <c r="D63" s="5">
        <f t="shared" si="34"/>
        <v>12550.02</v>
      </c>
      <c r="E63" s="6" t="str">
        <f t="shared" si="35"/>
        <v/>
      </c>
      <c r="F63" s="4"/>
      <c r="G63" s="4"/>
      <c r="H63" s="5">
        <f t="shared" si="36"/>
        <v>0</v>
      </c>
      <c r="I63" s="6" t="str">
        <f t="shared" si="37"/>
        <v/>
      </c>
      <c r="J63" s="5">
        <f t="shared" si="38"/>
        <v>12550.02</v>
      </c>
      <c r="K63" s="5">
        <f t="shared" si="39"/>
        <v>0</v>
      </c>
      <c r="L63" s="5">
        <f t="shared" si="40"/>
        <v>12550.02</v>
      </c>
      <c r="M63" s="6" t="str">
        <f t="shared" si="41"/>
        <v/>
      </c>
      <c r="N63" s="4"/>
      <c r="O63" s="4"/>
      <c r="P63" s="5">
        <f t="shared" si="42"/>
        <v>0</v>
      </c>
      <c r="Q63" s="6" t="str">
        <f t="shared" si="43"/>
        <v/>
      </c>
      <c r="R63" s="4"/>
      <c r="S63" s="4"/>
      <c r="T63" s="5">
        <f t="shared" si="44"/>
        <v>0</v>
      </c>
      <c r="U63" s="6" t="str">
        <f t="shared" si="45"/>
        <v/>
      </c>
      <c r="V63" s="5">
        <f t="shared" si="46"/>
        <v>0</v>
      </c>
      <c r="W63" s="5">
        <f t="shared" si="47"/>
        <v>0</v>
      </c>
      <c r="X63" s="5">
        <f t="shared" si="48"/>
        <v>0</v>
      </c>
      <c r="Y63" s="6" t="str">
        <f t="shared" si="49"/>
        <v/>
      </c>
      <c r="Z63" s="4"/>
      <c r="AA63" s="4"/>
      <c r="AB63" s="5">
        <f t="shared" si="50"/>
        <v>0</v>
      </c>
      <c r="AC63" s="6" t="str">
        <f t="shared" si="51"/>
        <v/>
      </c>
      <c r="AD63" s="4"/>
      <c r="AE63" s="4"/>
      <c r="AF63" s="5">
        <f t="shared" si="52"/>
        <v>0</v>
      </c>
      <c r="AG63" s="6" t="str">
        <f t="shared" si="53"/>
        <v/>
      </c>
      <c r="AH63" s="5">
        <f t="shared" si="54"/>
        <v>0</v>
      </c>
      <c r="AI63" s="5">
        <f t="shared" si="55"/>
        <v>0</v>
      </c>
      <c r="AJ63" s="5">
        <f t="shared" si="56"/>
        <v>0</v>
      </c>
      <c r="AK63" s="6" t="str">
        <f t="shared" si="57"/>
        <v/>
      </c>
      <c r="AL63" s="4"/>
      <c r="AM63" s="4"/>
      <c r="AN63" s="5">
        <f t="shared" si="58"/>
        <v>0</v>
      </c>
      <c r="AO63" s="6" t="str">
        <f t="shared" si="59"/>
        <v/>
      </c>
      <c r="AP63" s="5">
        <f t="shared" si="60"/>
        <v>12550.02</v>
      </c>
      <c r="AQ63" s="5">
        <f t="shared" si="61"/>
        <v>0</v>
      </c>
      <c r="AR63" s="5">
        <f t="shared" si="62"/>
        <v>12550.02</v>
      </c>
      <c r="AS63" s="6" t="str">
        <f t="shared" si="63"/>
        <v/>
      </c>
    </row>
    <row r="64" spans="1:45" x14ac:dyDescent="0.2">
      <c r="A64" s="3" t="s">
        <v>72</v>
      </c>
      <c r="B64" s="5">
        <f>20806.46</f>
        <v>20806.46</v>
      </c>
      <c r="C64" s="5">
        <f>22500</f>
        <v>22500</v>
      </c>
      <c r="D64" s="5">
        <f t="shared" si="34"/>
        <v>-1693.5400000000009</v>
      </c>
      <c r="E64" s="6">
        <f t="shared" si="35"/>
        <v>0.92473155555555553</v>
      </c>
      <c r="F64" s="4"/>
      <c r="G64" s="4"/>
      <c r="H64" s="5">
        <f t="shared" si="36"/>
        <v>0</v>
      </c>
      <c r="I64" s="6" t="str">
        <f t="shared" si="37"/>
        <v/>
      </c>
      <c r="J64" s="5">
        <f t="shared" si="38"/>
        <v>20806.46</v>
      </c>
      <c r="K64" s="5">
        <f t="shared" si="39"/>
        <v>22500</v>
      </c>
      <c r="L64" s="5">
        <f t="shared" si="40"/>
        <v>-1693.5400000000009</v>
      </c>
      <c r="M64" s="6">
        <f t="shared" si="41"/>
        <v>0.92473155555555553</v>
      </c>
      <c r="N64" s="4"/>
      <c r="O64" s="4"/>
      <c r="P64" s="5">
        <f t="shared" si="42"/>
        <v>0</v>
      </c>
      <c r="Q64" s="6" t="str">
        <f t="shared" si="43"/>
        <v/>
      </c>
      <c r="R64" s="4"/>
      <c r="S64" s="4"/>
      <c r="T64" s="5">
        <f t="shared" si="44"/>
        <v>0</v>
      </c>
      <c r="U64" s="6" t="str">
        <f t="shared" si="45"/>
        <v/>
      </c>
      <c r="V64" s="5">
        <f t="shared" si="46"/>
        <v>0</v>
      </c>
      <c r="W64" s="5">
        <f t="shared" si="47"/>
        <v>0</v>
      </c>
      <c r="X64" s="5">
        <f t="shared" si="48"/>
        <v>0</v>
      </c>
      <c r="Y64" s="6" t="str">
        <f t="shared" si="49"/>
        <v/>
      </c>
      <c r="Z64" s="4"/>
      <c r="AA64" s="4"/>
      <c r="AB64" s="5">
        <f t="shared" si="50"/>
        <v>0</v>
      </c>
      <c r="AC64" s="6" t="str">
        <f t="shared" si="51"/>
        <v/>
      </c>
      <c r="AD64" s="4"/>
      <c r="AE64" s="4"/>
      <c r="AF64" s="5">
        <f t="shared" si="52"/>
        <v>0</v>
      </c>
      <c r="AG64" s="6" t="str">
        <f t="shared" si="53"/>
        <v/>
      </c>
      <c r="AH64" s="5">
        <f t="shared" si="54"/>
        <v>0</v>
      </c>
      <c r="AI64" s="5">
        <f t="shared" si="55"/>
        <v>0</v>
      </c>
      <c r="AJ64" s="5">
        <f t="shared" si="56"/>
        <v>0</v>
      </c>
      <c r="AK64" s="6" t="str">
        <f t="shared" si="57"/>
        <v/>
      </c>
      <c r="AL64" s="4"/>
      <c r="AM64" s="4"/>
      <c r="AN64" s="5">
        <f t="shared" si="58"/>
        <v>0</v>
      </c>
      <c r="AO64" s="6" t="str">
        <f t="shared" si="59"/>
        <v/>
      </c>
      <c r="AP64" s="5">
        <f t="shared" si="60"/>
        <v>20806.46</v>
      </c>
      <c r="AQ64" s="5">
        <f t="shared" si="61"/>
        <v>22500</v>
      </c>
      <c r="AR64" s="5">
        <f t="shared" si="62"/>
        <v>-1693.5400000000009</v>
      </c>
      <c r="AS64" s="6">
        <f t="shared" si="63"/>
        <v>0.92473155555555553</v>
      </c>
    </row>
    <row r="65" spans="1:45" x14ac:dyDescent="0.2">
      <c r="A65" s="3" t="s">
        <v>73</v>
      </c>
      <c r="B65" s="7">
        <f>((B62)+(B63))+(B64)</f>
        <v>33356.479999999996</v>
      </c>
      <c r="C65" s="7">
        <f>((C62)+(C63))+(C64)</f>
        <v>22500</v>
      </c>
      <c r="D65" s="7">
        <f t="shared" si="34"/>
        <v>10856.479999999996</v>
      </c>
      <c r="E65" s="8">
        <f t="shared" si="35"/>
        <v>1.482510222222222</v>
      </c>
      <c r="F65" s="7">
        <f>((F62)+(F63))+(F64)</f>
        <v>0</v>
      </c>
      <c r="G65" s="7">
        <f>((G62)+(G63))+(G64)</f>
        <v>0</v>
      </c>
      <c r="H65" s="7">
        <f t="shared" si="36"/>
        <v>0</v>
      </c>
      <c r="I65" s="8" t="str">
        <f t="shared" si="37"/>
        <v/>
      </c>
      <c r="J65" s="7">
        <f t="shared" si="38"/>
        <v>33356.479999999996</v>
      </c>
      <c r="K65" s="7">
        <f t="shared" si="39"/>
        <v>22500</v>
      </c>
      <c r="L65" s="7">
        <f t="shared" si="40"/>
        <v>10856.479999999996</v>
      </c>
      <c r="M65" s="8">
        <f t="shared" si="41"/>
        <v>1.482510222222222</v>
      </c>
      <c r="N65" s="7">
        <f>((N62)+(N63))+(N64)</f>
        <v>0</v>
      </c>
      <c r="O65" s="7">
        <f>((O62)+(O63))+(O64)</f>
        <v>0</v>
      </c>
      <c r="P65" s="7">
        <f t="shared" si="42"/>
        <v>0</v>
      </c>
      <c r="Q65" s="8" t="str">
        <f t="shared" si="43"/>
        <v/>
      </c>
      <c r="R65" s="7">
        <f>((R62)+(R63))+(R64)</f>
        <v>0</v>
      </c>
      <c r="S65" s="7">
        <f>((S62)+(S63))+(S64)</f>
        <v>0</v>
      </c>
      <c r="T65" s="7">
        <f t="shared" si="44"/>
        <v>0</v>
      </c>
      <c r="U65" s="8" t="str">
        <f t="shared" si="45"/>
        <v/>
      </c>
      <c r="V65" s="7">
        <f t="shared" si="46"/>
        <v>0</v>
      </c>
      <c r="W65" s="7">
        <f t="shared" si="47"/>
        <v>0</v>
      </c>
      <c r="X65" s="7">
        <f t="shared" si="48"/>
        <v>0</v>
      </c>
      <c r="Y65" s="8" t="str">
        <f t="shared" si="49"/>
        <v/>
      </c>
      <c r="Z65" s="7">
        <f>((Z62)+(Z63))+(Z64)</f>
        <v>0</v>
      </c>
      <c r="AA65" s="7">
        <f>((AA62)+(AA63))+(AA64)</f>
        <v>0</v>
      </c>
      <c r="AB65" s="7">
        <f t="shared" si="50"/>
        <v>0</v>
      </c>
      <c r="AC65" s="8" t="str">
        <f t="shared" si="51"/>
        <v/>
      </c>
      <c r="AD65" s="7">
        <f>((AD62)+(AD63))+(AD64)</f>
        <v>0</v>
      </c>
      <c r="AE65" s="7">
        <f>((AE62)+(AE63))+(AE64)</f>
        <v>0</v>
      </c>
      <c r="AF65" s="7">
        <f t="shared" si="52"/>
        <v>0</v>
      </c>
      <c r="AG65" s="8" t="str">
        <f t="shared" si="53"/>
        <v/>
      </c>
      <c r="AH65" s="7">
        <f t="shared" si="54"/>
        <v>0</v>
      </c>
      <c r="AI65" s="7">
        <f t="shared" si="55"/>
        <v>0</v>
      </c>
      <c r="AJ65" s="7">
        <f t="shared" si="56"/>
        <v>0</v>
      </c>
      <c r="AK65" s="8" t="str">
        <f t="shared" si="57"/>
        <v/>
      </c>
      <c r="AL65" s="7">
        <f>((AL62)+(AL63))+(AL64)</f>
        <v>0</v>
      </c>
      <c r="AM65" s="7">
        <f>((AM62)+(AM63))+(AM64)</f>
        <v>0</v>
      </c>
      <c r="AN65" s="7">
        <f t="shared" si="58"/>
        <v>0</v>
      </c>
      <c r="AO65" s="8" t="str">
        <f t="shared" si="59"/>
        <v/>
      </c>
      <c r="AP65" s="7">
        <f t="shared" si="60"/>
        <v>33356.479999999996</v>
      </c>
      <c r="AQ65" s="7">
        <f t="shared" si="61"/>
        <v>22500</v>
      </c>
      <c r="AR65" s="7">
        <f t="shared" si="62"/>
        <v>10856.479999999996</v>
      </c>
      <c r="AS65" s="8">
        <f t="shared" si="63"/>
        <v>1.482510222222222</v>
      </c>
    </row>
    <row r="66" spans="1:45" x14ac:dyDescent="0.2">
      <c r="A66" s="3" t="s">
        <v>74</v>
      </c>
      <c r="B66" s="5">
        <f>5262.43</f>
        <v>5262.43</v>
      </c>
      <c r="C66" s="4"/>
      <c r="D66" s="5">
        <f t="shared" si="34"/>
        <v>5262.43</v>
      </c>
      <c r="E66" s="6" t="str">
        <f t="shared" si="35"/>
        <v/>
      </c>
      <c r="F66" s="4"/>
      <c r="G66" s="4"/>
      <c r="H66" s="5">
        <f t="shared" si="36"/>
        <v>0</v>
      </c>
      <c r="I66" s="6" t="str">
        <f t="shared" si="37"/>
        <v/>
      </c>
      <c r="J66" s="5">
        <f t="shared" si="38"/>
        <v>5262.43</v>
      </c>
      <c r="K66" s="5">
        <f t="shared" si="39"/>
        <v>0</v>
      </c>
      <c r="L66" s="5">
        <f t="shared" si="40"/>
        <v>5262.43</v>
      </c>
      <c r="M66" s="6" t="str">
        <f t="shared" si="41"/>
        <v/>
      </c>
      <c r="N66" s="5">
        <f>5109.23</f>
        <v>5109.2299999999996</v>
      </c>
      <c r="O66" s="5">
        <f>6800</f>
        <v>6800</v>
      </c>
      <c r="P66" s="5">
        <f t="shared" si="42"/>
        <v>-1690.7700000000004</v>
      </c>
      <c r="Q66" s="6">
        <f t="shared" si="43"/>
        <v>0.75135735294117645</v>
      </c>
      <c r="R66" s="4"/>
      <c r="S66" s="4"/>
      <c r="T66" s="5">
        <f t="shared" si="44"/>
        <v>0</v>
      </c>
      <c r="U66" s="6" t="str">
        <f t="shared" si="45"/>
        <v/>
      </c>
      <c r="V66" s="5">
        <f t="shared" si="46"/>
        <v>5109.2299999999996</v>
      </c>
      <c r="W66" s="5">
        <f t="shared" si="47"/>
        <v>6800</v>
      </c>
      <c r="X66" s="5">
        <f t="shared" si="48"/>
        <v>-1690.7700000000004</v>
      </c>
      <c r="Y66" s="6">
        <f t="shared" si="49"/>
        <v>0.75135735294117645</v>
      </c>
      <c r="Z66" s="5">
        <f>5109.16</f>
        <v>5109.16</v>
      </c>
      <c r="AA66" s="5">
        <f>6800</f>
        <v>6800</v>
      </c>
      <c r="AB66" s="5">
        <f t="shared" si="50"/>
        <v>-1690.8400000000001</v>
      </c>
      <c r="AC66" s="6">
        <f t="shared" si="51"/>
        <v>0.75134705882352937</v>
      </c>
      <c r="AD66" s="4"/>
      <c r="AE66" s="4"/>
      <c r="AF66" s="5">
        <f t="shared" si="52"/>
        <v>0</v>
      </c>
      <c r="AG66" s="6" t="str">
        <f t="shared" si="53"/>
        <v/>
      </c>
      <c r="AH66" s="5">
        <f t="shared" si="54"/>
        <v>5109.16</v>
      </c>
      <c r="AI66" s="5">
        <f t="shared" si="55"/>
        <v>6800</v>
      </c>
      <c r="AJ66" s="5">
        <f t="shared" si="56"/>
        <v>-1690.8400000000001</v>
      </c>
      <c r="AK66" s="6">
        <f t="shared" si="57"/>
        <v>0.75134705882352937</v>
      </c>
      <c r="AL66" s="5">
        <f>0</f>
        <v>0</v>
      </c>
      <c r="AM66" s="4"/>
      <c r="AN66" s="5">
        <f t="shared" si="58"/>
        <v>0</v>
      </c>
      <c r="AO66" s="6" t="str">
        <f t="shared" si="59"/>
        <v/>
      </c>
      <c r="AP66" s="5">
        <f t="shared" si="60"/>
        <v>15480.82</v>
      </c>
      <c r="AQ66" s="5">
        <f t="shared" si="61"/>
        <v>13600</v>
      </c>
      <c r="AR66" s="5">
        <f t="shared" si="62"/>
        <v>1880.8199999999997</v>
      </c>
      <c r="AS66" s="6">
        <f t="shared" si="63"/>
        <v>1.1382955882352941</v>
      </c>
    </row>
    <row r="67" spans="1:45" x14ac:dyDescent="0.2">
      <c r="A67" s="3" t="s">
        <v>75</v>
      </c>
      <c r="B67" s="4"/>
      <c r="C67" s="5">
        <f>2000</f>
        <v>2000</v>
      </c>
      <c r="D67" s="5">
        <f t="shared" si="34"/>
        <v>-2000</v>
      </c>
      <c r="E67" s="6">
        <f t="shared" si="35"/>
        <v>0</v>
      </c>
      <c r="F67" s="4"/>
      <c r="G67" s="4"/>
      <c r="H67" s="5">
        <f t="shared" si="36"/>
        <v>0</v>
      </c>
      <c r="I67" s="6" t="str">
        <f t="shared" si="37"/>
        <v/>
      </c>
      <c r="J67" s="5">
        <f t="shared" si="38"/>
        <v>0</v>
      </c>
      <c r="K67" s="5">
        <f t="shared" si="39"/>
        <v>2000</v>
      </c>
      <c r="L67" s="5">
        <f t="shared" si="40"/>
        <v>-2000</v>
      </c>
      <c r="M67" s="6">
        <f t="shared" si="41"/>
        <v>0</v>
      </c>
      <c r="N67" s="4"/>
      <c r="O67" s="5">
        <f>3681</f>
        <v>3681</v>
      </c>
      <c r="P67" s="5">
        <f t="shared" si="42"/>
        <v>-3681</v>
      </c>
      <c r="Q67" s="6">
        <f t="shared" si="43"/>
        <v>0</v>
      </c>
      <c r="R67" s="4"/>
      <c r="S67" s="4"/>
      <c r="T67" s="5">
        <f t="shared" si="44"/>
        <v>0</v>
      </c>
      <c r="U67" s="6" t="str">
        <f t="shared" si="45"/>
        <v/>
      </c>
      <c r="V67" s="5">
        <f t="shared" si="46"/>
        <v>0</v>
      </c>
      <c r="W67" s="5">
        <f t="shared" si="47"/>
        <v>3681</v>
      </c>
      <c r="X67" s="5">
        <f t="shared" si="48"/>
        <v>-3681</v>
      </c>
      <c r="Y67" s="6">
        <f t="shared" si="49"/>
        <v>0</v>
      </c>
      <c r="Z67" s="4"/>
      <c r="AA67" s="5">
        <f>3681</f>
        <v>3681</v>
      </c>
      <c r="AB67" s="5">
        <f t="shared" si="50"/>
        <v>-3681</v>
      </c>
      <c r="AC67" s="6">
        <f t="shared" si="51"/>
        <v>0</v>
      </c>
      <c r="AD67" s="4"/>
      <c r="AE67" s="4"/>
      <c r="AF67" s="5">
        <f t="shared" si="52"/>
        <v>0</v>
      </c>
      <c r="AG67" s="6" t="str">
        <f t="shared" si="53"/>
        <v/>
      </c>
      <c r="AH67" s="5">
        <f t="shared" si="54"/>
        <v>0</v>
      </c>
      <c r="AI67" s="5">
        <f t="shared" si="55"/>
        <v>3681</v>
      </c>
      <c r="AJ67" s="5">
        <f t="shared" si="56"/>
        <v>-3681</v>
      </c>
      <c r="AK67" s="6">
        <f t="shared" si="57"/>
        <v>0</v>
      </c>
      <c r="AL67" s="4"/>
      <c r="AM67" s="4"/>
      <c r="AN67" s="5">
        <f t="shared" si="58"/>
        <v>0</v>
      </c>
      <c r="AO67" s="6" t="str">
        <f t="shared" si="59"/>
        <v/>
      </c>
      <c r="AP67" s="5">
        <f t="shared" si="60"/>
        <v>0</v>
      </c>
      <c r="AQ67" s="5">
        <f t="shared" si="61"/>
        <v>9362</v>
      </c>
      <c r="AR67" s="5">
        <f t="shared" si="62"/>
        <v>-9362</v>
      </c>
      <c r="AS67" s="6">
        <f t="shared" si="63"/>
        <v>0</v>
      </c>
    </row>
    <row r="68" spans="1:45" x14ac:dyDescent="0.2">
      <c r="A68" s="3" t="s">
        <v>76</v>
      </c>
      <c r="B68" s="4"/>
      <c r="C68" s="4"/>
      <c r="D68" s="5">
        <f t="shared" si="34"/>
        <v>0</v>
      </c>
      <c r="E68" s="6" t="str">
        <f t="shared" si="35"/>
        <v/>
      </c>
      <c r="F68" s="4"/>
      <c r="G68" s="4"/>
      <c r="H68" s="5">
        <f t="shared" si="36"/>
        <v>0</v>
      </c>
      <c r="I68" s="6" t="str">
        <f t="shared" si="37"/>
        <v/>
      </c>
      <c r="J68" s="5">
        <f t="shared" si="38"/>
        <v>0</v>
      </c>
      <c r="K68" s="5">
        <f t="shared" si="39"/>
        <v>0</v>
      </c>
      <c r="L68" s="5">
        <f t="shared" si="40"/>
        <v>0</v>
      </c>
      <c r="M68" s="6" t="str">
        <f t="shared" si="41"/>
        <v/>
      </c>
      <c r="N68" s="4"/>
      <c r="O68" s="4"/>
      <c r="P68" s="5">
        <f t="shared" si="42"/>
        <v>0</v>
      </c>
      <c r="Q68" s="6" t="str">
        <f t="shared" si="43"/>
        <v/>
      </c>
      <c r="R68" s="4"/>
      <c r="S68" s="4"/>
      <c r="T68" s="5">
        <f t="shared" si="44"/>
        <v>0</v>
      </c>
      <c r="U68" s="6" t="str">
        <f t="shared" si="45"/>
        <v/>
      </c>
      <c r="V68" s="5">
        <f t="shared" si="46"/>
        <v>0</v>
      </c>
      <c r="W68" s="5">
        <f t="shared" si="47"/>
        <v>0</v>
      </c>
      <c r="X68" s="5">
        <f t="shared" si="48"/>
        <v>0</v>
      </c>
      <c r="Y68" s="6" t="str">
        <f t="shared" si="49"/>
        <v/>
      </c>
      <c r="Z68" s="4"/>
      <c r="AA68" s="4"/>
      <c r="AB68" s="5">
        <f t="shared" si="50"/>
        <v>0</v>
      </c>
      <c r="AC68" s="6" t="str">
        <f t="shared" si="51"/>
        <v/>
      </c>
      <c r="AD68" s="4"/>
      <c r="AE68" s="4"/>
      <c r="AF68" s="5">
        <f t="shared" si="52"/>
        <v>0</v>
      </c>
      <c r="AG68" s="6" t="str">
        <f t="shared" si="53"/>
        <v/>
      </c>
      <c r="AH68" s="5">
        <f t="shared" si="54"/>
        <v>0</v>
      </c>
      <c r="AI68" s="5">
        <f t="shared" si="55"/>
        <v>0</v>
      </c>
      <c r="AJ68" s="5">
        <f t="shared" si="56"/>
        <v>0</v>
      </c>
      <c r="AK68" s="6" t="str">
        <f t="shared" si="57"/>
        <v/>
      </c>
      <c r="AL68" s="4"/>
      <c r="AM68" s="4"/>
      <c r="AN68" s="5">
        <f t="shared" si="58"/>
        <v>0</v>
      </c>
      <c r="AO68" s="6" t="str">
        <f t="shared" si="59"/>
        <v/>
      </c>
      <c r="AP68" s="5">
        <f t="shared" si="60"/>
        <v>0</v>
      </c>
      <c r="AQ68" s="5">
        <f t="shared" si="61"/>
        <v>0</v>
      </c>
      <c r="AR68" s="5">
        <f t="shared" si="62"/>
        <v>0</v>
      </c>
      <c r="AS68" s="6" t="str">
        <f t="shared" si="63"/>
        <v/>
      </c>
    </row>
    <row r="69" spans="1:45" x14ac:dyDescent="0.2">
      <c r="A69" s="3" t="s">
        <v>77</v>
      </c>
      <c r="B69" s="4"/>
      <c r="C69" s="4"/>
      <c r="D69" s="5">
        <f t="shared" si="34"/>
        <v>0</v>
      </c>
      <c r="E69" s="6" t="str">
        <f t="shared" si="35"/>
        <v/>
      </c>
      <c r="F69" s="4"/>
      <c r="G69" s="4"/>
      <c r="H69" s="5">
        <f t="shared" si="36"/>
        <v>0</v>
      </c>
      <c r="I69" s="6" t="str">
        <f t="shared" si="37"/>
        <v/>
      </c>
      <c r="J69" s="5">
        <f t="shared" si="38"/>
        <v>0</v>
      </c>
      <c r="K69" s="5">
        <f t="shared" si="39"/>
        <v>0</v>
      </c>
      <c r="L69" s="5">
        <f t="shared" si="40"/>
        <v>0</v>
      </c>
      <c r="M69" s="6" t="str">
        <f t="shared" si="41"/>
        <v/>
      </c>
      <c r="N69" s="5">
        <f>12922.77</f>
        <v>12922.77</v>
      </c>
      <c r="O69" s="5">
        <f>12855</f>
        <v>12855</v>
      </c>
      <c r="P69" s="5">
        <f t="shared" si="42"/>
        <v>67.770000000000437</v>
      </c>
      <c r="Q69" s="6">
        <f t="shared" si="43"/>
        <v>1.0052718786464412</v>
      </c>
      <c r="R69" s="4"/>
      <c r="S69" s="4"/>
      <c r="T69" s="5">
        <f t="shared" si="44"/>
        <v>0</v>
      </c>
      <c r="U69" s="6" t="str">
        <f t="shared" si="45"/>
        <v/>
      </c>
      <c r="V69" s="5">
        <f t="shared" si="46"/>
        <v>12922.77</v>
      </c>
      <c r="W69" s="5">
        <f t="shared" si="47"/>
        <v>12855</v>
      </c>
      <c r="X69" s="5">
        <f t="shared" si="48"/>
        <v>67.770000000000437</v>
      </c>
      <c r="Y69" s="6">
        <f t="shared" si="49"/>
        <v>1.0052718786464412</v>
      </c>
      <c r="Z69" s="4"/>
      <c r="AA69" s="4"/>
      <c r="AB69" s="5">
        <f t="shared" si="50"/>
        <v>0</v>
      </c>
      <c r="AC69" s="6" t="str">
        <f t="shared" si="51"/>
        <v/>
      </c>
      <c r="AD69" s="4"/>
      <c r="AE69" s="4"/>
      <c r="AF69" s="5">
        <f t="shared" si="52"/>
        <v>0</v>
      </c>
      <c r="AG69" s="6" t="str">
        <f t="shared" si="53"/>
        <v/>
      </c>
      <c r="AH69" s="5">
        <f t="shared" si="54"/>
        <v>0</v>
      </c>
      <c r="AI69" s="5">
        <f t="shared" si="55"/>
        <v>0</v>
      </c>
      <c r="AJ69" s="5">
        <f t="shared" si="56"/>
        <v>0</v>
      </c>
      <c r="AK69" s="6" t="str">
        <f t="shared" si="57"/>
        <v/>
      </c>
      <c r="AL69" s="4"/>
      <c r="AM69" s="4"/>
      <c r="AN69" s="5">
        <f t="shared" si="58"/>
        <v>0</v>
      </c>
      <c r="AO69" s="6" t="str">
        <f t="shared" si="59"/>
        <v/>
      </c>
      <c r="AP69" s="5">
        <f t="shared" si="60"/>
        <v>12922.77</v>
      </c>
      <c r="AQ69" s="5">
        <f t="shared" si="61"/>
        <v>12855</v>
      </c>
      <c r="AR69" s="5">
        <f t="shared" si="62"/>
        <v>67.770000000000437</v>
      </c>
      <c r="AS69" s="6">
        <f t="shared" si="63"/>
        <v>1.0052718786464412</v>
      </c>
    </row>
    <row r="70" spans="1:45" x14ac:dyDescent="0.2">
      <c r="A70" s="3" t="s">
        <v>78</v>
      </c>
      <c r="B70" s="4"/>
      <c r="C70" s="4"/>
      <c r="D70" s="5">
        <f t="shared" si="34"/>
        <v>0</v>
      </c>
      <c r="E70" s="6" t="str">
        <f t="shared" si="35"/>
        <v/>
      </c>
      <c r="F70" s="4"/>
      <c r="G70" s="4"/>
      <c r="H70" s="5">
        <f t="shared" si="36"/>
        <v>0</v>
      </c>
      <c r="I70" s="6" t="str">
        <f t="shared" si="37"/>
        <v/>
      </c>
      <c r="J70" s="5">
        <f t="shared" si="38"/>
        <v>0</v>
      </c>
      <c r="K70" s="5">
        <f t="shared" si="39"/>
        <v>0</v>
      </c>
      <c r="L70" s="5">
        <f t="shared" si="40"/>
        <v>0</v>
      </c>
      <c r="M70" s="6" t="str">
        <f t="shared" si="41"/>
        <v/>
      </c>
      <c r="N70" s="4"/>
      <c r="O70" s="4"/>
      <c r="P70" s="5">
        <f t="shared" si="42"/>
        <v>0</v>
      </c>
      <c r="Q70" s="6" t="str">
        <f t="shared" si="43"/>
        <v/>
      </c>
      <c r="R70" s="4"/>
      <c r="S70" s="4"/>
      <c r="T70" s="5">
        <f t="shared" si="44"/>
        <v>0</v>
      </c>
      <c r="U70" s="6" t="str">
        <f t="shared" si="45"/>
        <v/>
      </c>
      <c r="V70" s="5">
        <f t="shared" si="46"/>
        <v>0</v>
      </c>
      <c r="W70" s="5">
        <f t="shared" si="47"/>
        <v>0</v>
      </c>
      <c r="X70" s="5">
        <f t="shared" si="48"/>
        <v>0</v>
      </c>
      <c r="Y70" s="6" t="str">
        <f t="shared" si="49"/>
        <v/>
      </c>
      <c r="Z70" s="5">
        <f>16389.3</f>
        <v>16389.3</v>
      </c>
      <c r="AA70" s="5">
        <f>12855</f>
        <v>12855</v>
      </c>
      <c r="AB70" s="5">
        <f t="shared" si="50"/>
        <v>3534.2999999999993</v>
      </c>
      <c r="AC70" s="6">
        <f t="shared" si="51"/>
        <v>1.2749358226371061</v>
      </c>
      <c r="AD70" s="4"/>
      <c r="AE70" s="4"/>
      <c r="AF70" s="5">
        <f t="shared" si="52"/>
        <v>0</v>
      </c>
      <c r="AG70" s="6" t="str">
        <f t="shared" si="53"/>
        <v/>
      </c>
      <c r="AH70" s="5">
        <f t="shared" si="54"/>
        <v>16389.3</v>
      </c>
      <c r="AI70" s="5">
        <f t="shared" si="55"/>
        <v>12855</v>
      </c>
      <c r="AJ70" s="5">
        <f t="shared" si="56"/>
        <v>3534.2999999999993</v>
      </c>
      <c r="AK70" s="6">
        <f t="shared" si="57"/>
        <v>1.2749358226371061</v>
      </c>
      <c r="AL70" s="4"/>
      <c r="AM70" s="4"/>
      <c r="AN70" s="5">
        <f t="shared" si="58"/>
        <v>0</v>
      </c>
      <c r="AO70" s="6" t="str">
        <f t="shared" si="59"/>
        <v/>
      </c>
      <c r="AP70" s="5">
        <f t="shared" si="60"/>
        <v>16389.3</v>
      </c>
      <c r="AQ70" s="5">
        <f t="shared" si="61"/>
        <v>12855</v>
      </c>
      <c r="AR70" s="5">
        <f t="shared" si="62"/>
        <v>3534.2999999999993</v>
      </c>
      <c r="AS70" s="6">
        <f t="shared" si="63"/>
        <v>1.2749358226371061</v>
      </c>
    </row>
    <row r="71" spans="1:45" x14ac:dyDescent="0.2">
      <c r="A71" s="3" t="s">
        <v>79</v>
      </c>
      <c r="B71" s="7">
        <f>((B68)+(B69))+(B70)</f>
        <v>0</v>
      </c>
      <c r="C71" s="7">
        <f>((C68)+(C69))+(C70)</f>
        <v>0</v>
      </c>
      <c r="D71" s="7">
        <f t="shared" si="34"/>
        <v>0</v>
      </c>
      <c r="E71" s="8" t="str">
        <f t="shared" si="35"/>
        <v/>
      </c>
      <c r="F71" s="7">
        <f>((F68)+(F69))+(F70)</f>
        <v>0</v>
      </c>
      <c r="G71" s="7">
        <f>((G68)+(G69))+(G70)</f>
        <v>0</v>
      </c>
      <c r="H71" s="7">
        <f t="shared" si="36"/>
        <v>0</v>
      </c>
      <c r="I71" s="8" t="str">
        <f t="shared" si="37"/>
        <v/>
      </c>
      <c r="J71" s="7">
        <f t="shared" si="38"/>
        <v>0</v>
      </c>
      <c r="K71" s="7">
        <f t="shared" si="39"/>
        <v>0</v>
      </c>
      <c r="L71" s="7">
        <f t="shared" si="40"/>
        <v>0</v>
      </c>
      <c r="M71" s="8" t="str">
        <f t="shared" si="41"/>
        <v/>
      </c>
      <c r="N71" s="7">
        <f>((N68)+(N69))+(N70)</f>
        <v>12922.77</v>
      </c>
      <c r="O71" s="7">
        <f>((O68)+(O69))+(O70)</f>
        <v>12855</v>
      </c>
      <c r="P71" s="7">
        <f t="shared" si="42"/>
        <v>67.770000000000437</v>
      </c>
      <c r="Q71" s="8">
        <f t="shared" si="43"/>
        <v>1.0052718786464412</v>
      </c>
      <c r="R71" s="7">
        <f>((R68)+(R69))+(R70)</f>
        <v>0</v>
      </c>
      <c r="S71" s="7">
        <f>((S68)+(S69))+(S70)</f>
        <v>0</v>
      </c>
      <c r="T71" s="7">
        <f t="shared" si="44"/>
        <v>0</v>
      </c>
      <c r="U71" s="8" t="str">
        <f t="shared" si="45"/>
        <v/>
      </c>
      <c r="V71" s="7">
        <f t="shared" si="46"/>
        <v>12922.77</v>
      </c>
      <c r="W71" s="7">
        <f t="shared" si="47"/>
        <v>12855</v>
      </c>
      <c r="X71" s="7">
        <f t="shared" si="48"/>
        <v>67.770000000000437</v>
      </c>
      <c r="Y71" s="8">
        <f t="shared" si="49"/>
        <v>1.0052718786464412</v>
      </c>
      <c r="Z71" s="7">
        <f>((Z68)+(Z69))+(Z70)</f>
        <v>16389.3</v>
      </c>
      <c r="AA71" s="7">
        <f>((AA68)+(AA69))+(AA70)</f>
        <v>12855</v>
      </c>
      <c r="AB71" s="7">
        <f t="shared" si="50"/>
        <v>3534.2999999999993</v>
      </c>
      <c r="AC71" s="8">
        <f t="shared" si="51"/>
        <v>1.2749358226371061</v>
      </c>
      <c r="AD71" s="7">
        <f>((AD68)+(AD69))+(AD70)</f>
        <v>0</v>
      </c>
      <c r="AE71" s="7">
        <f>((AE68)+(AE69))+(AE70)</f>
        <v>0</v>
      </c>
      <c r="AF71" s="7">
        <f t="shared" si="52"/>
        <v>0</v>
      </c>
      <c r="AG71" s="8" t="str">
        <f t="shared" si="53"/>
        <v/>
      </c>
      <c r="AH71" s="7">
        <f t="shared" si="54"/>
        <v>16389.3</v>
      </c>
      <c r="AI71" s="7">
        <f t="shared" si="55"/>
        <v>12855</v>
      </c>
      <c r="AJ71" s="7">
        <f t="shared" si="56"/>
        <v>3534.2999999999993</v>
      </c>
      <c r="AK71" s="8">
        <f t="shared" si="57"/>
        <v>1.2749358226371061</v>
      </c>
      <c r="AL71" s="7">
        <f>((AL68)+(AL69))+(AL70)</f>
        <v>0</v>
      </c>
      <c r="AM71" s="7">
        <f>((AM68)+(AM69))+(AM70)</f>
        <v>0</v>
      </c>
      <c r="AN71" s="7">
        <f t="shared" si="58"/>
        <v>0</v>
      </c>
      <c r="AO71" s="8" t="str">
        <f t="shared" si="59"/>
        <v/>
      </c>
      <c r="AP71" s="7">
        <f t="shared" si="60"/>
        <v>29312.07</v>
      </c>
      <c r="AQ71" s="7">
        <f t="shared" si="61"/>
        <v>25710</v>
      </c>
      <c r="AR71" s="7">
        <f t="shared" si="62"/>
        <v>3602.0699999999997</v>
      </c>
      <c r="AS71" s="8">
        <f t="shared" si="63"/>
        <v>1.1401038506417736</v>
      </c>
    </row>
    <row r="72" spans="1:45" x14ac:dyDescent="0.2">
      <c r="A72" s="3" t="s">
        <v>80</v>
      </c>
      <c r="B72" s="4"/>
      <c r="C72" s="5">
        <f>6806.8</f>
        <v>6806.8</v>
      </c>
      <c r="D72" s="5">
        <f t="shared" si="34"/>
        <v>-6806.8</v>
      </c>
      <c r="E72" s="6">
        <f t="shared" si="35"/>
        <v>0</v>
      </c>
      <c r="F72" s="4"/>
      <c r="G72" s="4"/>
      <c r="H72" s="5">
        <f t="shared" si="36"/>
        <v>0</v>
      </c>
      <c r="I72" s="6" t="str">
        <f t="shared" si="37"/>
        <v/>
      </c>
      <c r="J72" s="5">
        <f t="shared" si="38"/>
        <v>0</v>
      </c>
      <c r="K72" s="5">
        <f t="shared" si="39"/>
        <v>6806.8</v>
      </c>
      <c r="L72" s="5">
        <f t="shared" si="40"/>
        <v>-6806.8</v>
      </c>
      <c r="M72" s="6">
        <f t="shared" si="41"/>
        <v>0</v>
      </c>
      <c r="N72" s="4"/>
      <c r="O72" s="4"/>
      <c r="P72" s="5">
        <f t="shared" si="42"/>
        <v>0</v>
      </c>
      <c r="Q72" s="6" t="str">
        <f t="shared" si="43"/>
        <v/>
      </c>
      <c r="R72" s="4"/>
      <c r="S72" s="4"/>
      <c r="T72" s="5">
        <f t="shared" si="44"/>
        <v>0</v>
      </c>
      <c r="U72" s="6" t="str">
        <f t="shared" si="45"/>
        <v/>
      </c>
      <c r="V72" s="5">
        <f t="shared" si="46"/>
        <v>0</v>
      </c>
      <c r="W72" s="5">
        <f t="shared" si="47"/>
        <v>0</v>
      </c>
      <c r="X72" s="5">
        <f t="shared" si="48"/>
        <v>0</v>
      </c>
      <c r="Y72" s="6" t="str">
        <f t="shared" si="49"/>
        <v/>
      </c>
      <c r="Z72" s="4"/>
      <c r="AA72" s="4"/>
      <c r="AB72" s="5">
        <f t="shared" si="50"/>
        <v>0</v>
      </c>
      <c r="AC72" s="6" t="str">
        <f t="shared" si="51"/>
        <v/>
      </c>
      <c r="AD72" s="4"/>
      <c r="AE72" s="4"/>
      <c r="AF72" s="5">
        <f t="shared" si="52"/>
        <v>0</v>
      </c>
      <c r="AG72" s="6" t="str">
        <f t="shared" si="53"/>
        <v/>
      </c>
      <c r="AH72" s="5">
        <f t="shared" si="54"/>
        <v>0</v>
      </c>
      <c r="AI72" s="5">
        <f t="shared" si="55"/>
        <v>0</v>
      </c>
      <c r="AJ72" s="5">
        <f t="shared" si="56"/>
        <v>0</v>
      </c>
      <c r="AK72" s="6" t="str">
        <f t="shared" si="57"/>
        <v/>
      </c>
      <c r="AL72" s="4"/>
      <c r="AM72" s="4"/>
      <c r="AN72" s="5">
        <f t="shared" si="58"/>
        <v>0</v>
      </c>
      <c r="AO72" s="6" t="str">
        <f t="shared" si="59"/>
        <v/>
      </c>
      <c r="AP72" s="5">
        <f t="shared" si="60"/>
        <v>0</v>
      </c>
      <c r="AQ72" s="5">
        <f t="shared" si="61"/>
        <v>6806.8</v>
      </c>
      <c r="AR72" s="5">
        <f t="shared" si="62"/>
        <v>-6806.8</v>
      </c>
      <c r="AS72" s="6">
        <f t="shared" si="63"/>
        <v>0</v>
      </c>
    </row>
    <row r="73" spans="1:45" x14ac:dyDescent="0.2">
      <c r="A73" s="3" t="s">
        <v>81</v>
      </c>
      <c r="B73" s="7">
        <f>((((((B60)+(B61))+(B65))+(B66))+(B67))+(B71))+(B72)</f>
        <v>38730.689999999995</v>
      </c>
      <c r="C73" s="7">
        <f>((((((C60)+(C61))+(C65))+(C66))+(C67))+(C71))+(C72)</f>
        <v>31306.799999999999</v>
      </c>
      <c r="D73" s="7">
        <f t="shared" si="34"/>
        <v>7423.8899999999958</v>
      </c>
      <c r="E73" s="8">
        <f t="shared" si="35"/>
        <v>1.2371334662118132</v>
      </c>
      <c r="F73" s="7">
        <f>((((((F60)+(F61))+(F65))+(F66))+(F67))+(F71))+(F72)</f>
        <v>0</v>
      </c>
      <c r="G73" s="7">
        <f>((((((G60)+(G61))+(G65))+(G66))+(G67))+(G71))+(G72)</f>
        <v>0</v>
      </c>
      <c r="H73" s="7">
        <f t="shared" si="36"/>
        <v>0</v>
      </c>
      <c r="I73" s="8" t="str">
        <f t="shared" si="37"/>
        <v/>
      </c>
      <c r="J73" s="7">
        <f t="shared" si="38"/>
        <v>38730.689999999995</v>
      </c>
      <c r="K73" s="7">
        <f t="shared" si="39"/>
        <v>31306.799999999999</v>
      </c>
      <c r="L73" s="7">
        <f t="shared" si="40"/>
        <v>7423.8899999999958</v>
      </c>
      <c r="M73" s="8">
        <f t="shared" si="41"/>
        <v>1.2371334662118132</v>
      </c>
      <c r="N73" s="7">
        <f>((((((N60)+(N61))+(N65))+(N66))+(N67))+(N71))+(N72)</f>
        <v>19567.599999999999</v>
      </c>
      <c r="O73" s="7">
        <f>((((((O60)+(O61))+(O65))+(O66))+(O67))+(O71))+(O72)</f>
        <v>23836</v>
      </c>
      <c r="P73" s="7">
        <f t="shared" si="42"/>
        <v>-4268.4000000000015</v>
      </c>
      <c r="Q73" s="8">
        <f t="shared" si="43"/>
        <v>0.82092632992112768</v>
      </c>
      <c r="R73" s="7">
        <f>((((((R60)+(R61))+(R65))+(R66))+(R67))+(R71))+(R72)</f>
        <v>0</v>
      </c>
      <c r="S73" s="7">
        <f>((((((S60)+(S61))+(S65))+(S66))+(S67))+(S71))+(S72)</f>
        <v>0</v>
      </c>
      <c r="T73" s="7">
        <f t="shared" si="44"/>
        <v>0</v>
      </c>
      <c r="U73" s="8" t="str">
        <f t="shared" si="45"/>
        <v/>
      </c>
      <c r="V73" s="7">
        <f t="shared" si="46"/>
        <v>19567.599999999999</v>
      </c>
      <c r="W73" s="7">
        <f t="shared" si="47"/>
        <v>23836</v>
      </c>
      <c r="X73" s="7">
        <f t="shared" si="48"/>
        <v>-4268.4000000000015</v>
      </c>
      <c r="Y73" s="8">
        <f t="shared" si="49"/>
        <v>0.82092632992112768</v>
      </c>
      <c r="Z73" s="7">
        <f>((((((Z60)+(Z61))+(Z65))+(Z66))+(Z67))+(Z71))+(Z72)</f>
        <v>22663.059999999998</v>
      </c>
      <c r="AA73" s="7">
        <f>((((((AA60)+(AA61))+(AA65))+(AA66))+(AA67))+(AA71))+(AA72)</f>
        <v>24136</v>
      </c>
      <c r="AB73" s="7">
        <f t="shared" si="50"/>
        <v>-1472.9400000000023</v>
      </c>
      <c r="AC73" s="8">
        <f t="shared" si="51"/>
        <v>0.93897331786542915</v>
      </c>
      <c r="AD73" s="7">
        <f>((((((AD60)+(AD61))+(AD65))+(AD66))+(AD67))+(AD71))+(AD72)</f>
        <v>0</v>
      </c>
      <c r="AE73" s="7">
        <f>((((((AE60)+(AE61))+(AE65))+(AE66))+(AE67))+(AE71))+(AE72)</f>
        <v>0</v>
      </c>
      <c r="AF73" s="7">
        <f t="shared" si="52"/>
        <v>0</v>
      </c>
      <c r="AG73" s="8" t="str">
        <f t="shared" si="53"/>
        <v/>
      </c>
      <c r="AH73" s="7">
        <f t="shared" si="54"/>
        <v>22663.059999999998</v>
      </c>
      <c r="AI73" s="7">
        <f t="shared" si="55"/>
        <v>24136</v>
      </c>
      <c r="AJ73" s="7">
        <f t="shared" si="56"/>
        <v>-1472.9400000000023</v>
      </c>
      <c r="AK73" s="8">
        <f t="shared" si="57"/>
        <v>0.93897331786542915</v>
      </c>
      <c r="AL73" s="7">
        <f>((((((AL60)+(AL61))+(AL65))+(AL66))+(AL67))+(AL71))+(AL72)</f>
        <v>0</v>
      </c>
      <c r="AM73" s="7">
        <f>((((((AM60)+(AM61))+(AM65))+(AM66))+(AM67))+(AM71))+(AM72)</f>
        <v>0</v>
      </c>
      <c r="AN73" s="7">
        <f t="shared" si="58"/>
        <v>0</v>
      </c>
      <c r="AO73" s="8" t="str">
        <f t="shared" si="59"/>
        <v/>
      </c>
      <c r="AP73" s="7">
        <f t="shared" si="60"/>
        <v>80961.349999999991</v>
      </c>
      <c r="AQ73" s="7">
        <f t="shared" si="61"/>
        <v>79278.8</v>
      </c>
      <c r="AR73" s="7">
        <f t="shared" si="62"/>
        <v>1682.5499999999884</v>
      </c>
      <c r="AS73" s="8">
        <f t="shared" si="63"/>
        <v>1.0212232021675403</v>
      </c>
    </row>
    <row r="74" spans="1:45" x14ac:dyDescent="0.2">
      <c r="A74" s="3" t="s">
        <v>82</v>
      </c>
      <c r="B74" s="4"/>
      <c r="C74" s="4"/>
      <c r="D74" s="5">
        <f t="shared" si="34"/>
        <v>0</v>
      </c>
      <c r="E74" s="6" t="str">
        <f t="shared" si="35"/>
        <v/>
      </c>
      <c r="F74" s="4"/>
      <c r="G74" s="4"/>
      <c r="H74" s="5">
        <f t="shared" si="36"/>
        <v>0</v>
      </c>
      <c r="I74" s="6" t="str">
        <f t="shared" si="37"/>
        <v/>
      </c>
      <c r="J74" s="5">
        <f t="shared" si="38"/>
        <v>0</v>
      </c>
      <c r="K74" s="5">
        <f t="shared" si="39"/>
        <v>0</v>
      </c>
      <c r="L74" s="5">
        <f t="shared" si="40"/>
        <v>0</v>
      </c>
      <c r="M74" s="6" t="str">
        <f t="shared" si="41"/>
        <v/>
      </c>
      <c r="N74" s="4"/>
      <c r="O74" s="4"/>
      <c r="P74" s="5">
        <f t="shared" si="42"/>
        <v>0</v>
      </c>
      <c r="Q74" s="6" t="str">
        <f t="shared" si="43"/>
        <v/>
      </c>
      <c r="R74" s="4"/>
      <c r="S74" s="4"/>
      <c r="T74" s="5">
        <f t="shared" si="44"/>
        <v>0</v>
      </c>
      <c r="U74" s="6" t="str">
        <f t="shared" si="45"/>
        <v/>
      </c>
      <c r="V74" s="5">
        <f t="shared" si="46"/>
        <v>0</v>
      </c>
      <c r="W74" s="5">
        <f t="shared" si="47"/>
        <v>0</v>
      </c>
      <c r="X74" s="5">
        <f t="shared" si="48"/>
        <v>0</v>
      </c>
      <c r="Y74" s="6" t="str">
        <f t="shared" si="49"/>
        <v/>
      </c>
      <c r="Z74" s="4"/>
      <c r="AA74" s="4"/>
      <c r="AB74" s="5">
        <f t="shared" si="50"/>
        <v>0</v>
      </c>
      <c r="AC74" s="6" t="str">
        <f t="shared" si="51"/>
        <v/>
      </c>
      <c r="AD74" s="4"/>
      <c r="AE74" s="4"/>
      <c r="AF74" s="5">
        <f t="shared" si="52"/>
        <v>0</v>
      </c>
      <c r="AG74" s="6" t="str">
        <f t="shared" si="53"/>
        <v/>
      </c>
      <c r="AH74" s="5">
        <f t="shared" si="54"/>
        <v>0</v>
      </c>
      <c r="AI74" s="5">
        <f t="shared" si="55"/>
        <v>0</v>
      </c>
      <c r="AJ74" s="5">
        <f t="shared" si="56"/>
        <v>0</v>
      </c>
      <c r="AK74" s="6" t="str">
        <f t="shared" si="57"/>
        <v/>
      </c>
      <c r="AL74" s="4"/>
      <c r="AM74" s="4"/>
      <c r="AN74" s="5">
        <f t="shared" si="58"/>
        <v>0</v>
      </c>
      <c r="AO74" s="6" t="str">
        <f t="shared" si="59"/>
        <v/>
      </c>
      <c r="AP74" s="5">
        <f t="shared" si="60"/>
        <v>0</v>
      </c>
      <c r="AQ74" s="5">
        <f t="shared" si="61"/>
        <v>0</v>
      </c>
      <c r="AR74" s="5">
        <f t="shared" si="62"/>
        <v>0</v>
      </c>
      <c r="AS74" s="6" t="str">
        <f t="shared" si="63"/>
        <v/>
      </c>
    </row>
    <row r="75" spans="1:45" x14ac:dyDescent="0.2">
      <c r="A75" s="3" t="s">
        <v>83</v>
      </c>
      <c r="B75" s="4"/>
      <c r="C75" s="4"/>
      <c r="D75" s="5">
        <f t="shared" si="34"/>
        <v>0</v>
      </c>
      <c r="E75" s="6" t="str">
        <f t="shared" si="35"/>
        <v/>
      </c>
      <c r="F75" s="4"/>
      <c r="G75" s="4"/>
      <c r="H75" s="5">
        <f t="shared" si="36"/>
        <v>0</v>
      </c>
      <c r="I75" s="6" t="str">
        <f t="shared" si="37"/>
        <v/>
      </c>
      <c r="J75" s="5">
        <f t="shared" si="38"/>
        <v>0</v>
      </c>
      <c r="K75" s="5">
        <f t="shared" si="39"/>
        <v>0</v>
      </c>
      <c r="L75" s="5">
        <f t="shared" si="40"/>
        <v>0</v>
      </c>
      <c r="M75" s="6" t="str">
        <f t="shared" si="41"/>
        <v/>
      </c>
      <c r="N75" s="4"/>
      <c r="O75" s="4"/>
      <c r="P75" s="5">
        <f t="shared" si="42"/>
        <v>0</v>
      </c>
      <c r="Q75" s="6" t="str">
        <f t="shared" si="43"/>
        <v/>
      </c>
      <c r="R75" s="4"/>
      <c r="S75" s="4"/>
      <c r="T75" s="5">
        <f t="shared" si="44"/>
        <v>0</v>
      </c>
      <c r="U75" s="6" t="str">
        <f t="shared" si="45"/>
        <v/>
      </c>
      <c r="V75" s="5">
        <f t="shared" si="46"/>
        <v>0</v>
      </c>
      <c r="W75" s="5">
        <f t="shared" si="47"/>
        <v>0</v>
      </c>
      <c r="X75" s="5">
        <f t="shared" si="48"/>
        <v>0</v>
      </c>
      <c r="Y75" s="6" t="str">
        <f t="shared" si="49"/>
        <v/>
      </c>
      <c r="Z75" s="4"/>
      <c r="AA75" s="4"/>
      <c r="AB75" s="5">
        <f t="shared" si="50"/>
        <v>0</v>
      </c>
      <c r="AC75" s="6" t="str">
        <f t="shared" si="51"/>
        <v/>
      </c>
      <c r="AD75" s="4"/>
      <c r="AE75" s="4"/>
      <c r="AF75" s="5">
        <f t="shared" si="52"/>
        <v>0</v>
      </c>
      <c r="AG75" s="6" t="str">
        <f t="shared" si="53"/>
        <v/>
      </c>
      <c r="AH75" s="5">
        <f t="shared" si="54"/>
        <v>0</v>
      </c>
      <c r="AI75" s="5">
        <f t="shared" si="55"/>
        <v>0</v>
      </c>
      <c r="AJ75" s="5">
        <f t="shared" si="56"/>
        <v>0</v>
      </c>
      <c r="AK75" s="6" t="str">
        <f t="shared" si="57"/>
        <v/>
      </c>
      <c r="AL75" s="4"/>
      <c r="AM75" s="4"/>
      <c r="AN75" s="5">
        <f t="shared" si="58"/>
        <v>0</v>
      </c>
      <c r="AO75" s="6" t="str">
        <f t="shared" si="59"/>
        <v/>
      </c>
      <c r="AP75" s="5">
        <f t="shared" si="60"/>
        <v>0</v>
      </c>
      <c r="AQ75" s="5">
        <f t="shared" si="61"/>
        <v>0</v>
      </c>
      <c r="AR75" s="5">
        <f t="shared" si="62"/>
        <v>0</v>
      </c>
      <c r="AS75" s="6" t="str">
        <f t="shared" si="63"/>
        <v/>
      </c>
    </row>
    <row r="76" spans="1:45" x14ac:dyDescent="0.2">
      <c r="A76" s="3" t="s">
        <v>84</v>
      </c>
      <c r="B76" s="5">
        <f>571.48</f>
        <v>571.48</v>
      </c>
      <c r="C76" s="5">
        <f>1000</f>
        <v>1000</v>
      </c>
      <c r="D76" s="5">
        <f t="shared" si="34"/>
        <v>-428.52</v>
      </c>
      <c r="E76" s="6">
        <f t="shared" si="35"/>
        <v>0.57147999999999999</v>
      </c>
      <c r="F76" s="4"/>
      <c r="G76" s="4"/>
      <c r="H76" s="5">
        <f t="shared" si="36"/>
        <v>0</v>
      </c>
      <c r="I76" s="6" t="str">
        <f t="shared" si="37"/>
        <v/>
      </c>
      <c r="J76" s="5">
        <f t="shared" si="38"/>
        <v>571.48</v>
      </c>
      <c r="K76" s="5">
        <f t="shared" si="39"/>
        <v>1000</v>
      </c>
      <c r="L76" s="5">
        <f t="shared" si="40"/>
        <v>-428.52</v>
      </c>
      <c r="M76" s="6">
        <f t="shared" si="41"/>
        <v>0.57147999999999999</v>
      </c>
      <c r="N76" s="4"/>
      <c r="O76" s="4"/>
      <c r="P76" s="5">
        <f t="shared" si="42"/>
        <v>0</v>
      </c>
      <c r="Q76" s="6" t="str">
        <f t="shared" si="43"/>
        <v/>
      </c>
      <c r="R76" s="4"/>
      <c r="S76" s="4"/>
      <c r="T76" s="5">
        <f t="shared" si="44"/>
        <v>0</v>
      </c>
      <c r="U76" s="6" t="str">
        <f t="shared" si="45"/>
        <v/>
      </c>
      <c r="V76" s="5">
        <f t="shared" si="46"/>
        <v>0</v>
      </c>
      <c r="W76" s="5">
        <f t="shared" si="47"/>
        <v>0</v>
      </c>
      <c r="X76" s="5">
        <f t="shared" si="48"/>
        <v>0</v>
      </c>
      <c r="Y76" s="6" t="str">
        <f t="shared" si="49"/>
        <v/>
      </c>
      <c r="Z76" s="4"/>
      <c r="AA76" s="4"/>
      <c r="AB76" s="5">
        <f t="shared" si="50"/>
        <v>0</v>
      </c>
      <c r="AC76" s="6" t="str">
        <f t="shared" si="51"/>
        <v/>
      </c>
      <c r="AD76" s="4"/>
      <c r="AE76" s="4"/>
      <c r="AF76" s="5">
        <f t="shared" si="52"/>
        <v>0</v>
      </c>
      <c r="AG76" s="6" t="str">
        <f t="shared" si="53"/>
        <v/>
      </c>
      <c r="AH76" s="5">
        <f t="shared" si="54"/>
        <v>0</v>
      </c>
      <c r="AI76" s="5">
        <f t="shared" si="55"/>
        <v>0</v>
      </c>
      <c r="AJ76" s="5">
        <f t="shared" si="56"/>
        <v>0</v>
      </c>
      <c r="AK76" s="6" t="str">
        <f t="shared" si="57"/>
        <v/>
      </c>
      <c r="AL76" s="4"/>
      <c r="AM76" s="4"/>
      <c r="AN76" s="5">
        <f t="shared" si="58"/>
        <v>0</v>
      </c>
      <c r="AO76" s="6" t="str">
        <f t="shared" si="59"/>
        <v/>
      </c>
      <c r="AP76" s="5">
        <f t="shared" si="60"/>
        <v>571.48</v>
      </c>
      <c r="AQ76" s="5">
        <f t="shared" si="61"/>
        <v>1000</v>
      </c>
      <c r="AR76" s="5">
        <f t="shared" si="62"/>
        <v>-428.52</v>
      </c>
      <c r="AS76" s="6">
        <f t="shared" si="63"/>
        <v>0.57147999999999999</v>
      </c>
    </row>
    <row r="77" spans="1:45" x14ac:dyDescent="0.2">
      <c r="A77" s="3" t="s">
        <v>85</v>
      </c>
      <c r="B77" s="5">
        <f>599.14</f>
        <v>599.14</v>
      </c>
      <c r="C77" s="5">
        <f>2000</f>
        <v>2000</v>
      </c>
      <c r="D77" s="5">
        <f t="shared" si="34"/>
        <v>-1400.8600000000001</v>
      </c>
      <c r="E77" s="6">
        <f t="shared" si="35"/>
        <v>0.29957</v>
      </c>
      <c r="F77" s="5">
        <f>838.03</f>
        <v>838.03</v>
      </c>
      <c r="G77" s="4"/>
      <c r="H77" s="5">
        <f t="shared" si="36"/>
        <v>838.03</v>
      </c>
      <c r="I77" s="6" t="str">
        <f t="shared" si="37"/>
        <v/>
      </c>
      <c r="J77" s="5">
        <f t="shared" si="38"/>
        <v>1437.17</v>
      </c>
      <c r="K77" s="5">
        <f t="shared" si="39"/>
        <v>2000</v>
      </c>
      <c r="L77" s="5">
        <f t="shared" si="40"/>
        <v>-562.82999999999993</v>
      </c>
      <c r="M77" s="6">
        <f t="shared" si="41"/>
        <v>0.71858500000000003</v>
      </c>
      <c r="N77" s="5">
        <f>396.69</f>
        <v>396.69</v>
      </c>
      <c r="O77" s="5">
        <f>1000</f>
        <v>1000</v>
      </c>
      <c r="P77" s="5">
        <f t="shared" si="42"/>
        <v>-603.30999999999995</v>
      </c>
      <c r="Q77" s="6">
        <f t="shared" si="43"/>
        <v>0.39668999999999999</v>
      </c>
      <c r="R77" s="4"/>
      <c r="S77" s="4"/>
      <c r="T77" s="5">
        <f t="shared" si="44"/>
        <v>0</v>
      </c>
      <c r="U77" s="6" t="str">
        <f t="shared" si="45"/>
        <v/>
      </c>
      <c r="V77" s="5">
        <f t="shared" si="46"/>
        <v>396.69</v>
      </c>
      <c r="W77" s="5">
        <f t="shared" si="47"/>
        <v>1000</v>
      </c>
      <c r="X77" s="5">
        <f t="shared" si="48"/>
        <v>-603.30999999999995</v>
      </c>
      <c r="Y77" s="6">
        <f t="shared" si="49"/>
        <v>0.39668999999999999</v>
      </c>
      <c r="Z77" s="5">
        <f>396.68</f>
        <v>396.68</v>
      </c>
      <c r="AA77" s="5">
        <f>1000</f>
        <v>1000</v>
      </c>
      <c r="AB77" s="5">
        <f t="shared" si="50"/>
        <v>-603.31999999999994</v>
      </c>
      <c r="AC77" s="6">
        <f t="shared" si="51"/>
        <v>0.39668000000000003</v>
      </c>
      <c r="AD77" s="4"/>
      <c r="AE77" s="4"/>
      <c r="AF77" s="5">
        <f t="shared" si="52"/>
        <v>0</v>
      </c>
      <c r="AG77" s="6" t="str">
        <f t="shared" si="53"/>
        <v/>
      </c>
      <c r="AH77" s="5">
        <f t="shared" si="54"/>
        <v>396.68</v>
      </c>
      <c r="AI77" s="5">
        <f t="shared" si="55"/>
        <v>1000</v>
      </c>
      <c r="AJ77" s="5">
        <f t="shared" si="56"/>
        <v>-603.31999999999994</v>
      </c>
      <c r="AK77" s="6">
        <f t="shared" si="57"/>
        <v>0.39668000000000003</v>
      </c>
      <c r="AL77" s="5">
        <f>0</f>
        <v>0</v>
      </c>
      <c r="AM77" s="4"/>
      <c r="AN77" s="5">
        <f t="shared" si="58"/>
        <v>0</v>
      </c>
      <c r="AO77" s="6" t="str">
        <f t="shared" si="59"/>
        <v/>
      </c>
      <c r="AP77" s="5">
        <f t="shared" si="60"/>
        <v>2230.54</v>
      </c>
      <c r="AQ77" s="5">
        <f t="shared" si="61"/>
        <v>4000</v>
      </c>
      <c r="AR77" s="5">
        <f t="shared" si="62"/>
        <v>-1769.46</v>
      </c>
      <c r="AS77" s="6">
        <f t="shared" si="63"/>
        <v>0.55763499999999999</v>
      </c>
    </row>
    <row r="78" spans="1:45" x14ac:dyDescent="0.2">
      <c r="A78" s="3" t="s">
        <v>86</v>
      </c>
      <c r="B78" s="7">
        <f>((B75)+(B76))+(B77)</f>
        <v>1170.6199999999999</v>
      </c>
      <c r="C78" s="7">
        <f>((C75)+(C76))+(C77)</f>
        <v>3000</v>
      </c>
      <c r="D78" s="7">
        <f t="shared" si="34"/>
        <v>-1829.38</v>
      </c>
      <c r="E78" s="8">
        <f t="shared" si="35"/>
        <v>0.39020666666666665</v>
      </c>
      <c r="F78" s="7">
        <f>((F75)+(F76))+(F77)</f>
        <v>838.03</v>
      </c>
      <c r="G78" s="7">
        <f>((G75)+(G76))+(G77)</f>
        <v>0</v>
      </c>
      <c r="H78" s="7">
        <f t="shared" si="36"/>
        <v>838.03</v>
      </c>
      <c r="I78" s="8" t="str">
        <f t="shared" si="37"/>
        <v/>
      </c>
      <c r="J78" s="7">
        <f t="shared" si="38"/>
        <v>2008.6499999999999</v>
      </c>
      <c r="K78" s="7">
        <f t="shared" si="39"/>
        <v>3000</v>
      </c>
      <c r="L78" s="7">
        <f t="shared" si="40"/>
        <v>-991.35000000000014</v>
      </c>
      <c r="M78" s="8">
        <f t="shared" si="41"/>
        <v>0.66954999999999998</v>
      </c>
      <c r="N78" s="7">
        <f>((N75)+(N76))+(N77)</f>
        <v>396.69</v>
      </c>
      <c r="O78" s="7">
        <f>((O75)+(O76))+(O77)</f>
        <v>1000</v>
      </c>
      <c r="P78" s="7">
        <f t="shared" si="42"/>
        <v>-603.30999999999995</v>
      </c>
      <c r="Q78" s="8">
        <f t="shared" si="43"/>
        <v>0.39668999999999999</v>
      </c>
      <c r="R78" s="7">
        <f>((R75)+(R76))+(R77)</f>
        <v>0</v>
      </c>
      <c r="S78" s="7">
        <f>((S75)+(S76))+(S77)</f>
        <v>0</v>
      </c>
      <c r="T78" s="7">
        <f t="shared" si="44"/>
        <v>0</v>
      </c>
      <c r="U78" s="8" t="str">
        <f t="shared" si="45"/>
        <v/>
      </c>
      <c r="V78" s="7">
        <f t="shared" si="46"/>
        <v>396.69</v>
      </c>
      <c r="W78" s="7">
        <f t="shared" si="47"/>
        <v>1000</v>
      </c>
      <c r="X78" s="7">
        <f t="shared" si="48"/>
        <v>-603.30999999999995</v>
      </c>
      <c r="Y78" s="8">
        <f t="shared" si="49"/>
        <v>0.39668999999999999</v>
      </c>
      <c r="Z78" s="7">
        <f>((Z75)+(Z76))+(Z77)</f>
        <v>396.68</v>
      </c>
      <c r="AA78" s="7">
        <f>((AA75)+(AA76))+(AA77)</f>
        <v>1000</v>
      </c>
      <c r="AB78" s="7">
        <f t="shared" si="50"/>
        <v>-603.31999999999994</v>
      </c>
      <c r="AC78" s="8">
        <f t="shared" si="51"/>
        <v>0.39668000000000003</v>
      </c>
      <c r="AD78" s="7">
        <f>((AD75)+(AD76))+(AD77)</f>
        <v>0</v>
      </c>
      <c r="AE78" s="7">
        <f>((AE75)+(AE76))+(AE77)</f>
        <v>0</v>
      </c>
      <c r="AF78" s="7">
        <f t="shared" si="52"/>
        <v>0</v>
      </c>
      <c r="AG78" s="8" t="str">
        <f t="shared" si="53"/>
        <v/>
      </c>
      <c r="AH78" s="7">
        <f t="shared" si="54"/>
        <v>396.68</v>
      </c>
      <c r="AI78" s="7">
        <f t="shared" si="55"/>
        <v>1000</v>
      </c>
      <c r="AJ78" s="7">
        <f t="shared" si="56"/>
        <v>-603.31999999999994</v>
      </c>
      <c r="AK78" s="8">
        <f t="shared" si="57"/>
        <v>0.39668000000000003</v>
      </c>
      <c r="AL78" s="7">
        <f>((AL75)+(AL76))+(AL77)</f>
        <v>0</v>
      </c>
      <c r="AM78" s="7">
        <f>((AM75)+(AM76))+(AM77)</f>
        <v>0</v>
      </c>
      <c r="AN78" s="7">
        <f t="shared" si="58"/>
        <v>0</v>
      </c>
      <c r="AO78" s="8" t="str">
        <f t="shared" si="59"/>
        <v/>
      </c>
      <c r="AP78" s="7">
        <f t="shared" si="60"/>
        <v>2802.0199999999995</v>
      </c>
      <c r="AQ78" s="7">
        <f t="shared" si="61"/>
        <v>5000</v>
      </c>
      <c r="AR78" s="7">
        <f t="shared" si="62"/>
        <v>-2197.9800000000005</v>
      </c>
      <c r="AS78" s="8">
        <f t="shared" si="63"/>
        <v>0.5604039999999999</v>
      </c>
    </row>
    <row r="79" spans="1:45" x14ac:dyDescent="0.2">
      <c r="A79" s="3" t="s">
        <v>87</v>
      </c>
      <c r="B79" s="4"/>
      <c r="C79" s="4"/>
      <c r="D79" s="5">
        <f t="shared" si="34"/>
        <v>0</v>
      </c>
      <c r="E79" s="6" t="str">
        <f t="shared" si="35"/>
        <v/>
      </c>
      <c r="F79" s="4"/>
      <c r="G79" s="4"/>
      <c r="H79" s="5">
        <f t="shared" si="36"/>
        <v>0</v>
      </c>
      <c r="I79" s="6" t="str">
        <f t="shared" si="37"/>
        <v/>
      </c>
      <c r="J79" s="5">
        <f t="shared" si="38"/>
        <v>0</v>
      </c>
      <c r="K79" s="5">
        <f t="shared" si="39"/>
        <v>0</v>
      </c>
      <c r="L79" s="5">
        <f t="shared" si="40"/>
        <v>0</v>
      </c>
      <c r="M79" s="6" t="str">
        <f t="shared" si="41"/>
        <v/>
      </c>
      <c r="N79" s="4"/>
      <c r="O79" s="4"/>
      <c r="P79" s="5">
        <f t="shared" si="42"/>
        <v>0</v>
      </c>
      <c r="Q79" s="6" t="str">
        <f t="shared" si="43"/>
        <v/>
      </c>
      <c r="R79" s="4"/>
      <c r="S79" s="4"/>
      <c r="T79" s="5">
        <f t="shared" si="44"/>
        <v>0</v>
      </c>
      <c r="U79" s="6" t="str">
        <f t="shared" si="45"/>
        <v/>
      </c>
      <c r="V79" s="5">
        <f t="shared" si="46"/>
        <v>0</v>
      </c>
      <c r="W79" s="5">
        <f t="shared" si="47"/>
        <v>0</v>
      </c>
      <c r="X79" s="5">
        <f t="shared" si="48"/>
        <v>0</v>
      </c>
      <c r="Y79" s="6" t="str">
        <f t="shared" si="49"/>
        <v/>
      </c>
      <c r="Z79" s="4"/>
      <c r="AA79" s="4"/>
      <c r="AB79" s="5">
        <f t="shared" si="50"/>
        <v>0</v>
      </c>
      <c r="AC79" s="6" t="str">
        <f t="shared" si="51"/>
        <v/>
      </c>
      <c r="AD79" s="4"/>
      <c r="AE79" s="4"/>
      <c r="AF79" s="5">
        <f t="shared" si="52"/>
        <v>0</v>
      </c>
      <c r="AG79" s="6" t="str">
        <f t="shared" si="53"/>
        <v/>
      </c>
      <c r="AH79" s="5">
        <f t="shared" si="54"/>
        <v>0</v>
      </c>
      <c r="AI79" s="5">
        <f t="shared" si="55"/>
        <v>0</v>
      </c>
      <c r="AJ79" s="5">
        <f t="shared" si="56"/>
        <v>0</v>
      </c>
      <c r="AK79" s="6" t="str">
        <f t="shared" si="57"/>
        <v/>
      </c>
      <c r="AL79" s="4"/>
      <c r="AM79" s="4"/>
      <c r="AN79" s="5">
        <f t="shared" si="58"/>
        <v>0</v>
      </c>
      <c r="AO79" s="6" t="str">
        <f t="shared" si="59"/>
        <v/>
      </c>
      <c r="AP79" s="5">
        <f t="shared" si="60"/>
        <v>0</v>
      </c>
      <c r="AQ79" s="5">
        <f t="shared" si="61"/>
        <v>0</v>
      </c>
      <c r="AR79" s="5">
        <f t="shared" si="62"/>
        <v>0</v>
      </c>
      <c r="AS79" s="6" t="str">
        <f t="shared" si="63"/>
        <v/>
      </c>
    </row>
    <row r="80" spans="1:45" x14ac:dyDescent="0.2">
      <c r="A80" s="3" t="s">
        <v>88</v>
      </c>
      <c r="B80" s="5">
        <f>881.43</f>
        <v>881.43</v>
      </c>
      <c r="C80" s="5">
        <f>1520</f>
        <v>1520</v>
      </c>
      <c r="D80" s="5">
        <f t="shared" si="34"/>
        <v>-638.57000000000005</v>
      </c>
      <c r="E80" s="6">
        <f t="shared" si="35"/>
        <v>0.5798881578947368</v>
      </c>
      <c r="F80" s="4"/>
      <c r="G80" s="4"/>
      <c r="H80" s="5">
        <f t="shared" si="36"/>
        <v>0</v>
      </c>
      <c r="I80" s="6" t="str">
        <f t="shared" si="37"/>
        <v/>
      </c>
      <c r="J80" s="5">
        <f t="shared" si="38"/>
        <v>881.43</v>
      </c>
      <c r="K80" s="5">
        <f t="shared" si="39"/>
        <v>1520</v>
      </c>
      <c r="L80" s="5">
        <f t="shared" si="40"/>
        <v>-638.57000000000005</v>
      </c>
      <c r="M80" s="6">
        <f t="shared" si="41"/>
        <v>0.5798881578947368</v>
      </c>
      <c r="N80" s="4"/>
      <c r="O80" s="4"/>
      <c r="P80" s="5">
        <f t="shared" si="42"/>
        <v>0</v>
      </c>
      <c r="Q80" s="6" t="str">
        <f t="shared" si="43"/>
        <v/>
      </c>
      <c r="R80" s="4"/>
      <c r="S80" s="4"/>
      <c r="T80" s="5">
        <f t="shared" si="44"/>
        <v>0</v>
      </c>
      <c r="U80" s="6" t="str">
        <f t="shared" si="45"/>
        <v/>
      </c>
      <c r="V80" s="5">
        <f t="shared" si="46"/>
        <v>0</v>
      </c>
      <c r="W80" s="5">
        <f t="shared" si="47"/>
        <v>0</v>
      </c>
      <c r="X80" s="5">
        <f t="shared" si="48"/>
        <v>0</v>
      </c>
      <c r="Y80" s="6" t="str">
        <f t="shared" si="49"/>
        <v/>
      </c>
      <c r="Z80" s="4"/>
      <c r="AA80" s="4"/>
      <c r="AB80" s="5">
        <f t="shared" si="50"/>
        <v>0</v>
      </c>
      <c r="AC80" s="6" t="str">
        <f t="shared" si="51"/>
        <v/>
      </c>
      <c r="AD80" s="4"/>
      <c r="AE80" s="4"/>
      <c r="AF80" s="5">
        <f t="shared" si="52"/>
        <v>0</v>
      </c>
      <c r="AG80" s="6" t="str">
        <f t="shared" si="53"/>
        <v/>
      </c>
      <c r="AH80" s="5">
        <f t="shared" si="54"/>
        <v>0</v>
      </c>
      <c r="AI80" s="5">
        <f t="shared" si="55"/>
        <v>0</v>
      </c>
      <c r="AJ80" s="5">
        <f t="shared" si="56"/>
        <v>0</v>
      </c>
      <c r="AK80" s="6" t="str">
        <f t="shared" si="57"/>
        <v/>
      </c>
      <c r="AL80" s="4"/>
      <c r="AM80" s="4"/>
      <c r="AN80" s="5">
        <f t="shared" si="58"/>
        <v>0</v>
      </c>
      <c r="AO80" s="6" t="str">
        <f t="shared" si="59"/>
        <v/>
      </c>
      <c r="AP80" s="5">
        <f t="shared" si="60"/>
        <v>881.43</v>
      </c>
      <c r="AQ80" s="5">
        <f t="shared" si="61"/>
        <v>1520</v>
      </c>
      <c r="AR80" s="5">
        <f t="shared" si="62"/>
        <v>-638.57000000000005</v>
      </c>
      <c r="AS80" s="6">
        <f t="shared" si="63"/>
        <v>0.5798881578947368</v>
      </c>
    </row>
    <row r="81" spans="1:45" x14ac:dyDescent="0.2">
      <c r="A81" s="3" t="s">
        <v>89</v>
      </c>
      <c r="B81" s="5">
        <f>1602.03</f>
        <v>1602.03</v>
      </c>
      <c r="C81" s="5">
        <f>2500</f>
        <v>2500</v>
      </c>
      <c r="D81" s="5">
        <f t="shared" si="34"/>
        <v>-897.97</v>
      </c>
      <c r="E81" s="6">
        <f t="shared" si="35"/>
        <v>0.64081199999999994</v>
      </c>
      <c r="F81" s="4"/>
      <c r="G81" s="4"/>
      <c r="H81" s="5">
        <f t="shared" si="36"/>
        <v>0</v>
      </c>
      <c r="I81" s="6" t="str">
        <f t="shared" si="37"/>
        <v/>
      </c>
      <c r="J81" s="5">
        <f t="shared" si="38"/>
        <v>1602.03</v>
      </c>
      <c r="K81" s="5">
        <f t="shared" si="39"/>
        <v>2500</v>
      </c>
      <c r="L81" s="5">
        <f t="shared" si="40"/>
        <v>-897.97</v>
      </c>
      <c r="M81" s="6">
        <f t="shared" si="41"/>
        <v>0.64081199999999994</v>
      </c>
      <c r="N81" s="5">
        <f>807.44</f>
        <v>807.44</v>
      </c>
      <c r="O81" s="5">
        <f>450</f>
        <v>450</v>
      </c>
      <c r="P81" s="5">
        <f t="shared" si="42"/>
        <v>357.44000000000005</v>
      </c>
      <c r="Q81" s="6">
        <f t="shared" si="43"/>
        <v>1.7943111111111112</v>
      </c>
      <c r="R81" s="4"/>
      <c r="S81" s="4"/>
      <c r="T81" s="5">
        <f t="shared" si="44"/>
        <v>0</v>
      </c>
      <c r="U81" s="6" t="str">
        <f t="shared" si="45"/>
        <v/>
      </c>
      <c r="V81" s="5">
        <f t="shared" si="46"/>
        <v>807.44</v>
      </c>
      <c r="W81" s="5">
        <f t="shared" si="47"/>
        <v>450</v>
      </c>
      <c r="X81" s="5">
        <f t="shared" si="48"/>
        <v>357.44000000000005</v>
      </c>
      <c r="Y81" s="6">
        <f t="shared" si="49"/>
        <v>1.7943111111111112</v>
      </c>
      <c r="Z81" s="5">
        <f>807.43</f>
        <v>807.43</v>
      </c>
      <c r="AA81" s="5">
        <f>450</f>
        <v>450</v>
      </c>
      <c r="AB81" s="5">
        <f t="shared" si="50"/>
        <v>357.42999999999995</v>
      </c>
      <c r="AC81" s="6">
        <f t="shared" si="51"/>
        <v>1.7942888888888888</v>
      </c>
      <c r="AD81" s="4"/>
      <c r="AE81" s="4"/>
      <c r="AF81" s="5">
        <f t="shared" si="52"/>
        <v>0</v>
      </c>
      <c r="AG81" s="6" t="str">
        <f t="shared" si="53"/>
        <v/>
      </c>
      <c r="AH81" s="5">
        <f t="shared" si="54"/>
        <v>807.43</v>
      </c>
      <c r="AI81" s="5">
        <f t="shared" si="55"/>
        <v>450</v>
      </c>
      <c r="AJ81" s="5">
        <f t="shared" si="56"/>
        <v>357.42999999999995</v>
      </c>
      <c r="AK81" s="6">
        <f t="shared" si="57"/>
        <v>1.7942888888888888</v>
      </c>
      <c r="AL81" s="5">
        <f>0</f>
        <v>0</v>
      </c>
      <c r="AM81" s="4"/>
      <c r="AN81" s="5">
        <f t="shared" si="58"/>
        <v>0</v>
      </c>
      <c r="AO81" s="6" t="str">
        <f t="shared" si="59"/>
        <v/>
      </c>
      <c r="AP81" s="5">
        <f t="shared" si="60"/>
        <v>3216.9</v>
      </c>
      <c r="AQ81" s="5">
        <f t="shared" si="61"/>
        <v>3400</v>
      </c>
      <c r="AR81" s="5">
        <f t="shared" si="62"/>
        <v>-183.09999999999991</v>
      </c>
      <c r="AS81" s="6">
        <f t="shared" si="63"/>
        <v>0.94614705882352945</v>
      </c>
    </row>
    <row r="82" spans="1:45" x14ac:dyDescent="0.2">
      <c r="A82" s="3" t="s">
        <v>90</v>
      </c>
      <c r="B82" s="7">
        <f>((B79)+(B80))+(B81)</f>
        <v>2483.46</v>
      </c>
      <c r="C82" s="7">
        <f>((C79)+(C80))+(C81)</f>
        <v>4020</v>
      </c>
      <c r="D82" s="7">
        <f t="shared" si="34"/>
        <v>-1536.54</v>
      </c>
      <c r="E82" s="8">
        <f t="shared" si="35"/>
        <v>0.61777611940298505</v>
      </c>
      <c r="F82" s="7">
        <f>((F79)+(F80))+(F81)</f>
        <v>0</v>
      </c>
      <c r="G82" s="7">
        <f>((G79)+(G80))+(G81)</f>
        <v>0</v>
      </c>
      <c r="H82" s="7">
        <f t="shared" si="36"/>
        <v>0</v>
      </c>
      <c r="I82" s="8" t="str">
        <f t="shared" si="37"/>
        <v/>
      </c>
      <c r="J82" s="7">
        <f t="shared" si="38"/>
        <v>2483.46</v>
      </c>
      <c r="K82" s="7">
        <f t="shared" si="39"/>
        <v>4020</v>
      </c>
      <c r="L82" s="7">
        <f t="shared" si="40"/>
        <v>-1536.54</v>
      </c>
      <c r="M82" s="8">
        <f t="shared" si="41"/>
        <v>0.61777611940298505</v>
      </c>
      <c r="N82" s="7">
        <f>((N79)+(N80))+(N81)</f>
        <v>807.44</v>
      </c>
      <c r="O82" s="7">
        <f>((O79)+(O80))+(O81)</f>
        <v>450</v>
      </c>
      <c r="P82" s="7">
        <f t="shared" si="42"/>
        <v>357.44000000000005</v>
      </c>
      <c r="Q82" s="8">
        <f t="shared" si="43"/>
        <v>1.7943111111111112</v>
      </c>
      <c r="R82" s="7">
        <f>((R79)+(R80))+(R81)</f>
        <v>0</v>
      </c>
      <c r="S82" s="7">
        <f>((S79)+(S80))+(S81)</f>
        <v>0</v>
      </c>
      <c r="T82" s="7">
        <f t="shared" si="44"/>
        <v>0</v>
      </c>
      <c r="U82" s="8" t="str">
        <f t="shared" si="45"/>
        <v/>
      </c>
      <c r="V82" s="7">
        <f t="shared" si="46"/>
        <v>807.44</v>
      </c>
      <c r="W82" s="7">
        <f t="shared" si="47"/>
        <v>450</v>
      </c>
      <c r="X82" s="7">
        <f t="shared" si="48"/>
        <v>357.44000000000005</v>
      </c>
      <c r="Y82" s="8">
        <f t="shared" si="49"/>
        <v>1.7943111111111112</v>
      </c>
      <c r="Z82" s="7">
        <f>((Z79)+(Z80))+(Z81)</f>
        <v>807.43</v>
      </c>
      <c r="AA82" s="7">
        <f>((AA79)+(AA80))+(AA81)</f>
        <v>450</v>
      </c>
      <c r="AB82" s="7">
        <f t="shared" si="50"/>
        <v>357.42999999999995</v>
      </c>
      <c r="AC82" s="8">
        <f t="shared" si="51"/>
        <v>1.7942888888888888</v>
      </c>
      <c r="AD82" s="7">
        <f>((AD79)+(AD80))+(AD81)</f>
        <v>0</v>
      </c>
      <c r="AE82" s="7">
        <f>((AE79)+(AE80))+(AE81)</f>
        <v>0</v>
      </c>
      <c r="AF82" s="7">
        <f t="shared" si="52"/>
        <v>0</v>
      </c>
      <c r="AG82" s="8" t="str">
        <f t="shared" si="53"/>
        <v/>
      </c>
      <c r="AH82" s="7">
        <f t="shared" si="54"/>
        <v>807.43</v>
      </c>
      <c r="AI82" s="7">
        <f t="shared" si="55"/>
        <v>450</v>
      </c>
      <c r="AJ82" s="7">
        <f t="shared" si="56"/>
        <v>357.42999999999995</v>
      </c>
      <c r="AK82" s="8">
        <f t="shared" si="57"/>
        <v>1.7942888888888888</v>
      </c>
      <c r="AL82" s="7">
        <f>((AL79)+(AL80))+(AL81)</f>
        <v>0</v>
      </c>
      <c r="AM82" s="7">
        <f>((AM79)+(AM80))+(AM81)</f>
        <v>0</v>
      </c>
      <c r="AN82" s="7">
        <f t="shared" si="58"/>
        <v>0</v>
      </c>
      <c r="AO82" s="8" t="str">
        <f t="shared" si="59"/>
        <v/>
      </c>
      <c r="AP82" s="7">
        <f t="shared" si="60"/>
        <v>4098.33</v>
      </c>
      <c r="AQ82" s="7">
        <f t="shared" si="61"/>
        <v>4920</v>
      </c>
      <c r="AR82" s="7">
        <f t="shared" si="62"/>
        <v>-821.67000000000007</v>
      </c>
      <c r="AS82" s="8">
        <f t="shared" si="63"/>
        <v>0.83299390243902438</v>
      </c>
    </row>
    <row r="83" spans="1:45" x14ac:dyDescent="0.2">
      <c r="A83" s="3" t="s">
        <v>91</v>
      </c>
      <c r="B83" s="4"/>
      <c r="C83" s="5">
        <f>6350</f>
        <v>6350</v>
      </c>
      <c r="D83" s="5">
        <f t="shared" si="34"/>
        <v>-6350</v>
      </c>
      <c r="E83" s="6">
        <f t="shared" si="35"/>
        <v>0</v>
      </c>
      <c r="F83" s="4"/>
      <c r="G83" s="4"/>
      <c r="H83" s="5">
        <f t="shared" si="36"/>
        <v>0</v>
      </c>
      <c r="I83" s="6" t="str">
        <f t="shared" si="37"/>
        <v/>
      </c>
      <c r="J83" s="5">
        <f t="shared" si="38"/>
        <v>0</v>
      </c>
      <c r="K83" s="5">
        <f t="shared" si="39"/>
        <v>6350</v>
      </c>
      <c r="L83" s="5">
        <f t="shared" si="40"/>
        <v>-6350</v>
      </c>
      <c r="M83" s="6">
        <f t="shared" si="41"/>
        <v>0</v>
      </c>
      <c r="N83" s="4"/>
      <c r="O83" s="5">
        <f>1000</f>
        <v>1000</v>
      </c>
      <c r="P83" s="5">
        <f t="shared" si="42"/>
        <v>-1000</v>
      </c>
      <c r="Q83" s="6">
        <f t="shared" si="43"/>
        <v>0</v>
      </c>
      <c r="R83" s="4"/>
      <c r="S83" s="4"/>
      <c r="T83" s="5">
        <f t="shared" si="44"/>
        <v>0</v>
      </c>
      <c r="U83" s="6" t="str">
        <f t="shared" si="45"/>
        <v/>
      </c>
      <c r="V83" s="5">
        <f t="shared" si="46"/>
        <v>0</v>
      </c>
      <c r="W83" s="5">
        <f t="shared" si="47"/>
        <v>1000</v>
      </c>
      <c r="X83" s="5">
        <f t="shared" si="48"/>
        <v>-1000</v>
      </c>
      <c r="Y83" s="6">
        <f t="shared" si="49"/>
        <v>0</v>
      </c>
      <c r="Z83" s="4"/>
      <c r="AA83" s="5">
        <f>1000</f>
        <v>1000</v>
      </c>
      <c r="AB83" s="5">
        <f t="shared" si="50"/>
        <v>-1000</v>
      </c>
      <c r="AC83" s="6">
        <f t="shared" si="51"/>
        <v>0</v>
      </c>
      <c r="AD83" s="4"/>
      <c r="AE83" s="4"/>
      <c r="AF83" s="5">
        <f t="shared" si="52"/>
        <v>0</v>
      </c>
      <c r="AG83" s="6" t="str">
        <f t="shared" si="53"/>
        <v/>
      </c>
      <c r="AH83" s="5">
        <f t="shared" si="54"/>
        <v>0</v>
      </c>
      <c r="AI83" s="5">
        <f t="shared" si="55"/>
        <v>1000</v>
      </c>
      <c r="AJ83" s="5">
        <f t="shared" si="56"/>
        <v>-1000</v>
      </c>
      <c r="AK83" s="6">
        <f t="shared" si="57"/>
        <v>0</v>
      </c>
      <c r="AL83" s="4"/>
      <c r="AM83" s="4"/>
      <c r="AN83" s="5">
        <f t="shared" si="58"/>
        <v>0</v>
      </c>
      <c r="AO83" s="6" t="str">
        <f t="shared" si="59"/>
        <v/>
      </c>
      <c r="AP83" s="5">
        <f t="shared" si="60"/>
        <v>0</v>
      </c>
      <c r="AQ83" s="5">
        <f t="shared" si="61"/>
        <v>8350</v>
      </c>
      <c r="AR83" s="5">
        <f t="shared" si="62"/>
        <v>-8350</v>
      </c>
      <c r="AS83" s="6">
        <f t="shared" si="63"/>
        <v>0</v>
      </c>
    </row>
    <row r="84" spans="1:45" x14ac:dyDescent="0.2">
      <c r="A84" s="3" t="s">
        <v>92</v>
      </c>
      <c r="B84" s="7">
        <f>(((B74)+(B78))+(B82))+(B83)</f>
        <v>3654.08</v>
      </c>
      <c r="C84" s="7">
        <f>(((C74)+(C78))+(C82))+(C83)</f>
        <v>13370</v>
      </c>
      <c r="D84" s="7">
        <f t="shared" si="34"/>
        <v>-9715.92</v>
      </c>
      <c r="E84" s="8">
        <f t="shared" si="35"/>
        <v>0.27330441286462226</v>
      </c>
      <c r="F84" s="7">
        <f>(((F74)+(F78))+(F82))+(F83)</f>
        <v>838.03</v>
      </c>
      <c r="G84" s="7">
        <f>(((G74)+(G78))+(G82))+(G83)</f>
        <v>0</v>
      </c>
      <c r="H84" s="7">
        <f t="shared" si="36"/>
        <v>838.03</v>
      </c>
      <c r="I84" s="8" t="str">
        <f t="shared" si="37"/>
        <v/>
      </c>
      <c r="J84" s="7">
        <f t="shared" si="38"/>
        <v>4492.1099999999997</v>
      </c>
      <c r="K84" s="7">
        <f t="shared" si="39"/>
        <v>13370</v>
      </c>
      <c r="L84" s="7">
        <f t="shared" si="40"/>
        <v>-8877.89</v>
      </c>
      <c r="M84" s="8">
        <f t="shared" si="41"/>
        <v>0.33598429319371725</v>
      </c>
      <c r="N84" s="7">
        <f>(((N74)+(N78))+(N82))+(N83)</f>
        <v>1204.1300000000001</v>
      </c>
      <c r="O84" s="7">
        <f>(((O74)+(O78))+(O82))+(O83)</f>
        <v>2450</v>
      </c>
      <c r="P84" s="7">
        <f t="shared" si="42"/>
        <v>-1245.8699999999999</v>
      </c>
      <c r="Q84" s="8">
        <f t="shared" si="43"/>
        <v>0.49148163265306127</v>
      </c>
      <c r="R84" s="7">
        <f>(((R74)+(R78))+(R82))+(R83)</f>
        <v>0</v>
      </c>
      <c r="S84" s="7">
        <f>(((S74)+(S78))+(S82))+(S83)</f>
        <v>0</v>
      </c>
      <c r="T84" s="7">
        <f t="shared" si="44"/>
        <v>0</v>
      </c>
      <c r="U84" s="8" t="str">
        <f t="shared" si="45"/>
        <v/>
      </c>
      <c r="V84" s="7">
        <f t="shared" si="46"/>
        <v>1204.1300000000001</v>
      </c>
      <c r="W84" s="7">
        <f t="shared" si="47"/>
        <v>2450</v>
      </c>
      <c r="X84" s="7">
        <f t="shared" si="48"/>
        <v>-1245.8699999999999</v>
      </c>
      <c r="Y84" s="8">
        <f t="shared" si="49"/>
        <v>0.49148163265306127</v>
      </c>
      <c r="Z84" s="7">
        <f>(((Z74)+(Z78))+(Z82))+(Z83)</f>
        <v>1204.1099999999999</v>
      </c>
      <c r="AA84" s="7">
        <f>(((AA74)+(AA78))+(AA82))+(AA83)</f>
        <v>2450</v>
      </c>
      <c r="AB84" s="7">
        <f t="shared" si="50"/>
        <v>-1245.8900000000001</v>
      </c>
      <c r="AC84" s="8">
        <f t="shared" si="51"/>
        <v>0.49147346938775505</v>
      </c>
      <c r="AD84" s="7">
        <f>(((AD74)+(AD78))+(AD82))+(AD83)</f>
        <v>0</v>
      </c>
      <c r="AE84" s="7">
        <f>(((AE74)+(AE78))+(AE82))+(AE83)</f>
        <v>0</v>
      </c>
      <c r="AF84" s="7">
        <f t="shared" si="52"/>
        <v>0</v>
      </c>
      <c r="AG84" s="8" t="str">
        <f t="shared" si="53"/>
        <v/>
      </c>
      <c r="AH84" s="7">
        <f t="shared" si="54"/>
        <v>1204.1099999999999</v>
      </c>
      <c r="AI84" s="7">
        <f t="shared" si="55"/>
        <v>2450</v>
      </c>
      <c r="AJ84" s="7">
        <f t="shared" si="56"/>
        <v>-1245.8900000000001</v>
      </c>
      <c r="AK84" s="8">
        <f t="shared" si="57"/>
        <v>0.49147346938775505</v>
      </c>
      <c r="AL84" s="7">
        <f>(((AL74)+(AL78))+(AL82))+(AL83)</f>
        <v>0</v>
      </c>
      <c r="AM84" s="7">
        <f>(((AM74)+(AM78))+(AM82))+(AM83)</f>
        <v>0</v>
      </c>
      <c r="AN84" s="7">
        <f t="shared" si="58"/>
        <v>0</v>
      </c>
      <c r="AO84" s="8" t="str">
        <f t="shared" si="59"/>
        <v/>
      </c>
      <c r="AP84" s="7">
        <f t="shared" si="60"/>
        <v>6900.3499999999995</v>
      </c>
      <c r="AQ84" s="7">
        <f t="shared" si="61"/>
        <v>18270</v>
      </c>
      <c r="AR84" s="7">
        <f t="shared" si="62"/>
        <v>-11369.650000000001</v>
      </c>
      <c r="AS84" s="8">
        <f t="shared" si="63"/>
        <v>0.37768746579091406</v>
      </c>
    </row>
    <row r="85" spans="1:45" x14ac:dyDescent="0.2">
      <c r="A85" s="3" t="s">
        <v>93</v>
      </c>
      <c r="B85" s="5">
        <f>149.7</f>
        <v>149.69999999999999</v>
      </c>
      <c r="C85" s="5">
        <f>600</f>
        <v>600</v>
      </c>
      <c r="D85" s="5">
        <f t="shared" si="34"/>
        <v>-450.3</v>
      </c>
      <c r="E85" s="6">
        <f t="shared" si="35"/>
        <v>0.24949999999999997</v>
      </c>
      <c r="F85" s="4"/>
      <c r="G85" s="4"/>
      <c r="H85" s="5">
        <f t="shared" si="36"/>
        <v>0</v>
      </c>
      <c r="I85" s="6" t="str">
        <f t="shared" si="37"/>
        <v/>
      </c>
      <c r="J85" s="5">
        <f t="shared" si="38"/>
        <v>149.69999999999999</v>
      </c>
      <c r="K85" s="5">
        <f t="shared" si="39"/>
        <v>600</v>
      </c>
      <c r="L85" s="5">
        <f t="shared" si="40"/>
        <v>-450.3</v>
      </c>
      <c r="M85" s="6">
        <f t="shared" si="41"/>
        <v>0.24949999999999997</v>
      </c>
      <c r="N85" s="5">
        <f>36.92</f>
        <v>36.92</v>
      </c>
      <c r="O85" s="4"/>
      <c r="P85" s="5">
        <f t="shared" si="42"/>
        <v>36.92</v>
      </c>
      <c r="Q85" s="6" t="str">
        <f t="shared" si="43"/>
        <v/>
      </c>
      <c r="R85" s="4"/>
      <c r="S85" s="4"/>
      <c r="T85" s="5">
        <f t="shared" si="44"/>
        <v>0</v>
      </c>
      <c r="U85" s="6" t="str">
        <f t="shared" si="45"/>
        <v/>
      </c>
      <c r="V85" s="5">
        <f t="shared" si="46"/>
        <v>36.92</v>
      </c>
      <c r="W85" s="5">
        <f t="shared" si="47"/>
        <v>0</v>
      </c>
      <c r="X85" s="5">
        <f t="shared" si="48"/>
        <v>36.92</v>
      </c>
      <c r="Y85" s="6" t="str">
        <f t="shared" si="49"/>
        <v/>
      </c>
      <c r="Z85" s="5">
        <f>36.91</f>
        <v>36.909999999999997</v>
      </c>
      <c r="AA85" s="4"/>
      <c r="AB85" s="5">
        <f t="shared" si="50"/>
        <v>36.909999999999997</v>
      </c>
      <c r="AC85" s="6" t="str">
        <f t="shared" si="51"/>
        <v/>
      </c>
      <c r="AD85" s="4"/>
      <c r="AE85" s="4"/>
      <c r="AF85" s="5">
        <f t="shared" si="52"/>
        <v>0</v>
      </c>
      <c r="AG85" s="6" t="str">
        <f t="shared" si="53"/>
        <v/>
      </c>
      <c r="AH85" s="5">
        <f t="shared" si="54"/>
        <v>36.909999999999997</v>
      </c>
      <c r="AI85" s="5">
        <f t="shared" si="55"/>
        <v>0</v>
      </c>
      <c r="AJ85" s="5">
        <f t="shared" si="56"/>
        <v>36.909999999999997</v>
      </c>
      <c r="AK85" s="6" t="str">
        <f t="shared" si="57"/>
        <v/>
      </c>
      <c r="AL85" s="4"/>
      <c r="AM85" s="4"/>
      <c r="AN85" s="5">
        <f t="shared" si="58"/>
        <v>0</v>
      </c>
      <c r="AO85" s="6" t="str">
        <f t="shared" si="59"/>
        <v/>
      </c>
      <c r="AP85" s="5">
        <f t="shared" si="60"/>
        <v>223.53</v>
      </c>
      <c r="AQ85" s="5">
        <f t="shared" si="61"/>
        <v>600</v>
      </c>
      <c r="AR85" s="5">
        <f t="shared" si="62"/>
        <v>-376.47</v>
      </c>
      <c r="AS85" s="6">
        <f t="shared" si="63"/>
        <v>0.37254999999999999</v>
      </c>
    </row>
    <row r="86" spans="1:45" x14ac:dyDescent="0.2">
      <c r="A86" s="3" t="s">
        <v>94</v>
      </c>
      <c r="B86" s="4"/>
      <c r="C86" s="4"/>
      <c r="D86" s="5">
        <f t="shared" si="34"/>
        <v>0</v>
      </c>
      <c r="E86" s="6" t="str">
        <f t="shared" si="35"/>
        <v/>
      </c>
      <c r="F86" s="4"/>
      <c r="G86" s="4"/>
      <c r="H86" s="5">
        <f t="shared" si="36"/>
        <v>0</v>
      </c>
      <c r="I86" s="6" t="str">
        <f t="shared" si="37"/>
        <v/>
      </c>
      <c r="J86" s="5">
        <f t="shared" si="38"/>
        <v>0</v>
      </c>
      <c r="K86" s="5">
        <f t="shared" si="39"/>
        <v>0</v>
      </c>
      <c r="L86" s="5">
        <f t="shared" si="40"/>
        <v>0</v>
      </c>
      <c r="M86" s="6" t="str">
        <f t="shared" si="41"/>
        <v/>
      </c>
      <c r="N86" s="4"/>
      <c r="O86" s="4"/>
      <c r="P86" s="5">
        <f t="shared" si="42"/>
        <v>0</v>
      </c>
      <c r="Q86" s="6" t="str">
        <f t="shared" si="43"/>
        <v/>
      </c>
      <c r="R86" s="4"/>
      <c r="S86" s="4"/>
      <c r="T86" s="5">
        <f t="shared" si="44"/>
        <v>0</v>
      </c>
      <c r="U86" s="6" t="str">
        <f t="shared" si="45"/>
        <v/>
      </c>
      <c r="V86" s="5">
        <f t="shared" si="46"/>
        <v>0</v>
      </c>
      <c r="W86" s="5">
        <f t="shared" si="47"/>
        <v>0</v>
      </c>
      <c r="X86" s="5">
        <f t="shared" si="48"/>
        <v>0</v>
      </c>
      <c r="Y86" s="6" t="str">
        <f t="shared" si="49"/>
        <v/>
      </c>
      <c r="Z86" s="4"/>
      <c r="AA86" s="4"/>
      <c r="AB86" s="5">
        <f t="shared" si="50"/>
        <v>0</v>
      </c>
      <c r="AC86" s="6" t="str">
        <f t="shared" si="51"/>
        <v/>
      </c>
      <c r="AD86" s="4"/>
      <c r="AE86" s="4"/>
      <c r="AF86" s="5">
        <f t="shared" si="52"/>
        <v>0</v>
      </c>
      <c r="AG86" s="6" t="str">
        <f t="shared" si="53"/>
        <v/>
      </c>
      <c r="AH86" s="5">
        <f t="shared" si="54"/>
        <v>0</v>
      </c>
      <c r="AI86" s="5">
        <f t="shared" si="55"/>
        <v>0</v>
      </c>
      <c r="AJ86" s="5">
        <f t="shared" si="56"/>
        <v>0</v>
      </c>
      <c r="AK86" s="6" t="str">
        <f t="shared" si="57"/>
        <v/>
      </c>
      <c r="AL86" s="4"/>
      <c r="AM86" s="4"/>
      <c r="AN86" s="5">
        <f t="shared" si="58"/>
        <v>0</v>
      </c>
      <c r="AO86" s="6" t="str">
        <f t="shared" si="59"/>
        <v/>
      </c>
      <c r="AP86" s="5">
        <f t="shared" si="60"/>
        <v>0</v>
      </c>
      <c r="AQ86" s="5">
        <f t="shared" si="61"/>
        <v>0</v>
      </c>
      <c r="AR86" s="5">
        <f t="shared" si="62"/>
        <v>0</v>
      </c>
      <c r="AS86" s="6" t="str">
        <f t="shared" si="63"/>
        <v/>
      </c>
    </row>
    <row r="87" spans="1:45" x14ac:dyDescent="0.2">
      <c r="A87" s="3" t="s">
        <v>95</v>
      </c>
      <c r="B87" s="4"/>
      <c r="C87" s="4"/>
      <c r="D87" s="5">
        <f t="shared" si="34"/>
        <v>0</v>
      </c>
      <c r="E87" s="6" t="str">
        <f t="shared" si="35"/>
        <v/>
      </c>
      <c r="F87" s="4"/>
      <c r="G87" s="4"/>
      <c r="H87" s="5">
        <f t="shared" si="36"/>
        <v>0</v>
      </c>
      <c r="I87" s="6" t="str">
        <f t="shared" si="37"/>
        <v/>
      </c>
      <c r="J87" s="5">
        <f t="shared" si="38"/>
        <v>0</v>
      </c>
      <c r="K87" s="5">
        <f t="shared" si="39"/>
        <v>0</v>
      </c>
      <c r="L87" s="5">
        <f t="shared" si="40"/>
        <v>0</v>
      </c>
      <c r="M87" s="6" t="str">
        <f t="shared" si="41"/>
        <v/>
      </c>
      <c r="N87" s="4"/>
      <c r="O87" s="4"/>
      <c r="P87" s="5">
        <f t="shared" si="42"/>
        <v>0</v>
      </c>
      <c r="Q87" s="6" t="str">
        <f t="shared" si="43"/>
        <v/>
      </c>
      <c r="R87" s="4"/>
      <c r="S87" s="4"/>
      <c r="T87" s="5">
        <f t="shared" si="44"/>
        <v>0</v>
      </c>
      <c r="U87" s="6" t="str">
        <f t="shared" si="45"/>
        <v/>
      </c>
      <c r="V87" s="5">
        <f t="shared" si="46"/>
        <v>0</v>
      </c>
      <c r="W87" s="5">
        <f t="shared" si="47"/>
        <v>0</v>
      </c>
      <c r="X87" s="5">
        <f t="shared" si="48"/>
        <v>0</v>
      </c>
      <c r="Y87" s="6" t="str">
        <f t="shared" si="49"/>
        <v/>
      </c>
      <c r="Z87" s="4"/>
      <c r="AA87" s="4"/>
      <c r="AB87" s="5">
        <f t="shared" si="50"/>
        <v>0</v>
      </c>
      <c r="AC87" s="6" t="str">
        <f t="shared" si="51"/>
        <v/>
      </c>
      <c r="AD87" s="4"/>
      <c r="AE87" s="4"/>
      <c r="AF87" s="5">
        <f t="shared" si="52"/>
        <v>0</v>
      </c>
      <c r="AG87" s="6" t="str">
        <f t="shared" si="53"/>
        <v/>
      </c>
      <c r="AH87" s="5">
        <f t="shared" si="54"/>
        <v>0</v>
      </c>
      <c r="AI87" s="5">
        <f t="shared" si="55"/>
        <v>0</v>
      </c>
      <c r="AJ87" s="5">
        <f t="shared" si="56"/>
        <v>0</v>
      </c>
      <c r="AK87" s="6" t="str">
        <f t="shared" si="57"/>
        <v/>
      </c>
      <c r="AL87" s="4"/>
      <c r="AM87" s="4"/>
      <c r="AN87" s="5">
        <f t="shared" si="58"/>
        <v>0</v>
      </c>
      <c r="AO87" s="6" t="str">
        <f t="shared" si="59"/>
        <v/>
      </c>
      <c r="AP87" s="5">
        <f t="shared" si="60"/>
        <v>0</v>
      </c>
      <c r="AQ87" s="5">
        <f t="shared" si="61"/>
        <v>0</v>
      </c>
      <c r="AR87" s="5">
        <f t="shared" si="62"/>
        <v>0</v>
      </c>
      <c r="AS87" s="6" t="str">
        <f t="shared" si="63"/>
        <v/>
      </c>
    </row>
    <row r="88" spans="1:45" x14ac:dyDescent="0.2">
      <c r="A88" s="3" t="s">
        <v>96</v>
      </c>
      <c r="B88" s="5">
        <f>3970</f>
        <v>3970</v>
      </c>
      <c r="C88" s="5">
        <f>1000</f>
        <v>1000</v>
      </c>
      <c r="D88" s="5">
        <f t="shared" si="34"/>
        <v>2970</v>
      </c>
      <c r="E88" s="6">
        <f t="shared" si="35"/>
        <v>3.97</v>
      </c>
      <c r="F88" s="4"/>
      <c r="G88" s="4"/>
      <c r="H88" s="5">
        <f t="shared" si="36"/>
        <v>0</v>
      </c>
      <c r="I88" s="6" t="str">
        <f t="shared" si="37"/>
        <v/>
      </c>
      <c r="J88" s="5">
        <f t="shared" si="38"/>
        <v>3970</v>
      </c>
      <c r="K88" s="5">
        <f t="shared" si="39"/>
        <v>1000</v>
      </c>
      <c r="L88" s="5">
        <f t="shared" si="40"/>
        <v>2970</v>
      </c>
      <c r="M88" s="6">
        <f t="shared" si="41"/>
        <v>3.97</v>
      </c>
      <c r="N88" s="5">
        <f>372.67</f>
        <v>372.67</v>
      </c>
      <c r="O88" s="5">
        <f>1600</f>
        <v>1600</v>
      </c>
      <c r="P88" s="5">
        <f t="shared" si="42"/>
        <v>-1227.33</v>
      </c>
      <c r="Q88" s="6">
        <f t="shared" si="43"/>
        <v>0.23291875000000001</v>
      </c>
      <c r="R88" s="4"/>
      <c r="S88" s="4"/>
      <c r="T88" s="5">
        <f t="shared" si="44"/>
        <v>0</v>
      </c>
      <c r="U88" s="6" t="str">
        <f t="shared" si="45"/>
        <v/>
      </c>
      <c r="V88" s="5">
        <f t="shared" si="46"/>
        <v>372.67</v>
      </c>
      <c r="W88" s="5">
        <f t="shared" si="47"/>
        <v>1600</v>
      </c>
      <c r="X88" s="5">
        <f t="shared" si="48"/>
        <v>-1227.33</v>
      </c>
      <c r="Y88" s="6">
        <f t="shared" si="49"/>
        <v>0.23291875000000001</v>
      </c>
      <c r="Z88" s="5">
        <f>372.66</f>
        <v>372.66</v>
      </c>
      <c r="AA88" s="5">
        <f>1100</f>
        <v>1100</v>
      </c>
      <c r="AB88" s="5">
        <f t="shared" si="50"/>
        <v>-727.33999999999992</v>
      </c>
      <c r="AC88" s="6">
        <f t="shared" si="51"/>
        <v>0.33878181818181818</v>
      </c>
      <c r="AD88" s="4"/>
      <c r="AE88" s="4"/>
      <c r="AF88" s="5">
        <f t="shared" si="52"/>
        <v>0</v>
      </c>
      <c r="AG88" s="6" t="str">
        <f t="shared" si="53"/>
        <v/>
      </c>
      <c r="AH88" s="5">
        <f t="shared" si="54"/>
        <v>372.66</v>
      </c>
      <c r="AI88" s="5">
        <f t="shared" si="55"/>
        <v>1100</v>
      </c>
      <c r="AJ88" s="5">
        <f t="shared" si="56"/>
        <v>-727.33999999999992</v>
      </c>
      <c r="AK88" s="6">
        <f t="shared" si="57"/>
        <v>0.33878181818181818</v>
      </c>
      <c r="AL88" s="5">
        <f>0</f>
        <v>0</v>
      </c>
      <c r="AM88" s="4"/>
      <c r="AN88" s="5">
        <f t="shared" si="58"/>
        <v>0</v>
      </c>
      <c r="AO88" s="6" t="str">
        <f t="shared" si="59"/>
        <v/>
      </c>
      <c r="AP88" s="5">
        <f t="shared" si="60"/>
        <v>4715.33</v>
      </c>
      <c r="AQ88" s="5">
        <f t="shared" si="61"/>
        <v>3700</v>
      </c>
      <c r="AR88" s="5">
        <f t="shared" si="62"/>
        <v>1015.3299999999999</v>
      </c>
      <c r="AS88" s="6">
        <f t="shared" si="63"/>
        <v>1.2744135135135135</v>
      </c>
    </row>
    <row r="89" spans="1:45" x14ac:dyDescent="0.2">
      <c r="A89" s="3" t="s">
        <v>97</v>
      </c>
      <c r="B89" s="5">
        <f>4829.21</f>
        <v>4829.21</v>
      </c>
      <c r="C89" s="5">
        <f>300</f>
        <v>300</v>
      </c>
      <c r="D89" s="5">
        <f t="shared" si="34"/>
        <v>4529.21</v>
      </c>
      <c r="E89" s="6">
        <f t="shared" si="35"/>
        <v>16.097366666666666</v>
      </c>
      <c r="F89" s="4"/>
      <c r="G89" s="4"/>
      <c r="H89" s="5">
        <f t="shared" si="36"/>
        <v>0</v>
      </c>
      <c r="I89" s="6" t="str">
        <f t="shared" si="37"/>
        <v/>
      </c>
      <c r="J89" s="5">
        <f t="shared" si="38"/>
        <v>4829.21</v>
      </c>
      <c r="K89" s="5">
        <f t="shared" si="39"/>
        <v>300</v>
      </c>
      <c r="L89" s="5">
        <f t="shared" si="40"/>
        <v>4529.21</v>
      </c>
      <c r="M89" s="6">
        <f t="shared" si="41"/>
        <v>16.097366666666666</v>
      </c>
      <c r="N89" s="5">
        <f>753.78</f>
        <v>753.78</v>
      </c>
      <c r="O89" s="5">
        <f>320</f>
        <v>320</v>
      </c>
      <c r="P89" s="5">
        <f t="shared" si="42"/>
        <v>433.78</v>
      </c>
      <c r="Q89" s="6">
        <f t="shared" si="43"/>
        <v>2.3555625</v>
      </c>
      <c r="R89" s="4"/>
      <c r="S89" s="4"/>
      <c r="T89" s="5">
        <f t="shared" si="44"/>
        <v>0</v>
      </c>
      <c r="U89" s="6" t="str">
        <f t="shared" si="45"/>
        <v/>
      </c>
      <c r="V89" s="5">
        <f t="shared" si="46"/>
        <v>753.78</v>
      </c>
      <c r="W89" s="5">
        <f t="shared" si="47"/>
        <v>320</v>
      </c>
      <c r="X89" s="5">
        <f t="shared" si="48"/>
        <v>433.78</v>
      </c>
      <c r="Y89" s="6">
        <f t="shared" si="49"/>
        <v>2.3555625</v>
      </c>
      <c r="Z89" s="5">
        <f>534.79</f>
        <v>534.79</v>
      </c>
      <c r="AA89" s="5">
        <f>320</f>
        <v>320</v>
      </c>
      <c r="AB89" s="5">
        <f t="shared" si="50"/>
        <v>214.78999999999996</v>
      </c>
      <c r="AC89" s="6">
        <f t="shared" si="51"/>
        <v>1.67121875</v>
      </c>
      <c r="AD89" s="4"/>
      <c r="AE89" s="4"/>
      <c r="AF89" s="5">
        <f t="shared" si="52"/>
        <v>0</v>
      </c>
      <c r="AG89" s="6" t="str">
        <f t="shared" si="53"/>
        <v/>
      </c>
      <c r="AH89" s="5">
        <f t="shared" si="54"/>
        <v>534.79</v>
      </c>
      <c r="AI89" s="5">
        <f t="shared" si="55"/>
        <v>320</v>
      </c>
      <c r="AJ89" s="5">
        <f t="shared" si="56"/>
        <v>214.78999999999996</v>
      </c>
      <c r="AK89" s="6">
        <f t="shared" si="57"/>
        <v>1.67121875</v>
      </c>
      <c r="AL89" s="5">
        <f>0</f>
        <v>0</v>
      </c>
      <c r="AM89" s="4"/>
      <c r="AN89" s="5">
        <f t="shared" si="58"/>
        <v>0</v>
      </c>
      <c r="AO89" s="6" t="str">
        <f t="shared" si="59"/>
        <v/>
      </c>
      <c r="AP89" s="5">
        <f t="shared" si="60"/>
        <v>6117.78</v>
      </c>
      <c r="AQ89" s="5">
        <f t="shared" si="61"/>
        <v>940</v>
      </c>
      <c r="AR89" s="5">
        <f t="shared" si="62"/>
        <v>5177.78</v>
      </c>
      <c r="AS89" s="6">
        <f t="shared" si="63"/>
        <v>6.5082765957446806</v>
      </c>
    </row>
    <row r="90" spans="1:45" x14ac:dyDescent="0.2">
      <c r="A90" s="3" t="s">
        <v>98</v>
      </c>
      <c r="B90" s="7">
        <f>((B87)+(B88))+(B89)</f>
        <v>8799.2099999999991</v>
      </c>
      <c r="C90" s="7">
        <f>((C87)+(C88))+(C89)</f>
        <v>1300</v>
      </c>
      <c r="D90" s="7">
        <f t="shared" si="34"/>
        <v>7499.2099999999991</v>
      </c>
      <c r="E90" s="8">
        <f t="shared" si="35"/>
        <v>6.7686230769230766</v>
      </c>
      <c r="F90" s="7">
        <f>((F87)+(F88))+(F89)</f>
        <v>0</v>
      </c>
      <c r="G90" s="7">
        <f>((G87)+(G88))+(G89)</f>
        <v>0</v>
      </c>
      <c r="H90" s="7">
        <f t="shared" si="36"/>
        <v>0</v>
      </c>
      <c r="I90" s="8" t="str">
        <f t="shared" si="37"/>
        <v/>
      </c>
      <c r="J90" s="7">
        <f t="shared" si="38"/>
        <v>8799.2099999999991</v>
      </c>
      <c r="K90" s="7">
        <f t="shared" si="39"/>
        <v>1300</v>
      </c>
      <c r="L90" s="7">
        <f t="shared" si="40"/>
        <v>7499.2099999999991</v>
      </c>
      <c r="M90" s="8">
        <f t="shared" si="41"/>
        <v>6.7686230769230766</v>
      </c>
      <c r="N90" s="7">
        <f>((N87)+(N88))+(N89)</f>
        <v>1126.45</v>
      </c>
      <c r="O90" s="7">
        <f>((O87)+(O88))+(O89)</f>
        <v>1920</v>
      </c>
      <c r="P90" s="7">
        <f t="shared" si="42"/>
        <v>-793.55</v>
      </c>
      <c r="Q90" s="8">
        <f t="shared" si="43"/>
        <v>0.58669270833333331</v>
      </c>
      <c r="R90" s="7">
        <f>((R87)+(R88))+(R89)</f>
        <v>0</v>
      </c>
      <c r="S90" s="7">
        <f>((S87)+(S88))+(S89)</f>
        <v>0</v>
      </c>
      <c r="T90" s="7">
        <f t="shared" si="44"/>
        <v>0</v>
      </c>
      <c r="U90" s="8" t="str">
        <f t="shared" si="45"/>
        <v/>
      </c>
      <c r="V90" s="7">
        <f t="shared" si="46"/>
        <v>1126.45</v>
      </c>
      <c r="W90" s="7">
        <f t="shared" si="47"/>
        <v>1920</v>
      </c>
      <c r="X90" s="7">
        <f t="shared" si="48"/>
        <v>-793.55</v>
      </c>
      <c r="Y90" s="8">
        <f t="shared" si="49"/>
        <v>0.58669270833333331</v>
      </c>
      <c r="Z90" s="7">
        <f>((Z87)+(Z88))+(Z89)</f>
        <v>907.45</v>
      </c>
      <c r="AA90" s="7">
        <f>((AA87)+(AA88))+(AA89)</f>
        <v>1420</v>
      </c>
      <c r="AB90" s="7">
        <f t="shared" si="50"/>
        <v>-512.54999999999995</v>
      </c>
      <c r="AC90" s="8">
        <f t="shared" si="51"/>
        <v>0.63904929577464797</v>
      </c>
      <c r="AD90" s="7">
        <f>((AD87)+(AD88))+(AD89)</f>
        <v>0</v>
      </c>
      <c r="AE90" s="7">
        <f>((AE87)+(AE88))+(AE89)</f>
        <v>0</v>
      </c>
      <c r="AF90" s="7">
        <f t="shared" si="52"/>
        <v>0</v>
      </c>
      <c r="AG90" s="8" t="str">
        <f t="shared" si="53"/>
        <v/>
      </c>
      <c r="AH90" s="7">
        <f t="shared" si="54"/>
        <v>907.45</v>
      </c>
      <c r="AI90" s="7">
        <f t="shared" si="55"/>
        <v>1420</v>
      </c>
      <c r="AJ90" s="7">
        <f t="shared" si="56"/>
        <v>-512.54999999999995</v>
      </c>
      <c r="AK90" s="8">
        <f t="shared" si="57"/>
        <v>0.63904929577464797</v>
      </c>
      <c r="AL90" s="7">
        <f>((AL87)+(AL88))+(AL89)</f>
        <v>0</v>
      </c>
      <c r="AM90" s="7">
        <f>((AM87)+(AM88))+(AM89)</f>
        <v>0</v>
      </c>
      <c r="AN90" s="7">
        <f t="shared" si="58"/>
        <v>0</v>
      </c>
      <c r="AO90" s="8" t="str">
        <f t="shared" si="59"/>
        <v/>
      </c>
      <c r="AP90" s="7">
        <f t="shared" si="60"/>
        <v>10833.11</v>
      </c>
      <c r="AQ90" s="7">
        <f t="shared" si="61"/>
        <v>4640</v>
      </c>
      <c r="AR90" s="7">
        <f t="shared" si="62"/>
        <v>6193.1100000000006</v>
      </c>
      <c r="AS90" s="8">
        <f t="shared" si="63"/>
        <v>2.3347219827586208</v>
      </c>
    </row>
    <row r="91" spans="1:45" x14ac:dyDescent="0.2">
      <c r="A91" s="3" t="s">
        <v>99</v>
      </c>
      <c r="B91" s="4"/>
      <c r="C91" s="4"/>
      <c r="D91" s="5">
        <f t="shared" ref="D91:D122" si="64">(B91)-(C91)</f>
        <v>0</v>
      </c>
      <c r="E91" s="6" t="str">
        <f t="shared" ref="E91:E122" si="65">IF(C91=0,"",(B91)/(C91))</f>
        <v/>
      </c>
      <c r="F91" s="4"/>
      <c r="G91" s="4"/>
      <c r="H91" s="5">
        <f t="shared" ref="H91:H122" si="66">(F91)-(G91)</f>
        <v>0</v>
      </c>
      <c r="I91" s="6" t="str">
        <f t="shared" ref="I91:I122" si="67">IF(G91=0,"",(F91)/(G91))</f>
        <v/>
      </c>
      <c r="J91" s="5">
        <f t="shared" ref="J91:J122" si="68">(B91)+(F91)</f>
        <v>0</v>
      </c>
      <c r="K91" s="5">
        <f t="shared" ref="K91:K122" si="69">(C91)+(G91)</f>
        <v>0</v>
      </c>
      <c r="L91" s="5">
        <f t="shared" ref="L91:L122" si="70">(J91)-(K91)</f>
        <v>0</v>
      </c>
      <c r="M91" s="6" t="str">
        <f t="shared" ref="M91:M122" si="71">IF(K91=0,"",(J91)/(K91))</f>
        <v/>
      </c>
      <c r="N91" s="4"/>
      <c r="O91" s="4"/>
      <c r="P91" s="5">
        <f t="shared" ref="P91:P122" si="72">(N91)-(O91)</f>
        <v>0</v>
      </c>
      <c r="Q91" s="6" t="str">
        <f t="shared" ref="Q91:Q122" si="73">IF(O91=0,"",(N91)/(O91))</f>
        <v/>
      </c>
      <c r="R91" s="4"/>
      <c r="S91" s="4"/>
      <c r="T91" s="5">
        <f t="shared" ref="T91:T122" si="74">(R91)-(S91)</f>
        <v>0</v>
      </c>
      <c r="U91" s="6" t="str">
        <f t="shared" ref="U91:U122" si="75">IF(S91=0,"",(R91)/(S91))</f>
        <v/>
      </c>
      <c r="V91" s="5">
        <f t="shared" ref="V91:V122" si="76">(N91)+(R91)</f>
        <v>0</v>
      </c>
      <c r="W91" s="5">
        <f t="shared" ref="W91:W122" si="77">(O91)+(S91)</f>
        <v>0</v>
      </c>
      <c r="X91" s="5">
        <f t="shared" ref="X91:X122" si="78">(V91)-(W91)</f>
        <v>0</v>
      </c>
      <c r="Y91" s="6" t="str">
        <f t="shared" ref="Y91:Y122" si="79">IF(W91=0,"",(V91)/(W91))</f>
        <v/>
      </c>
      <c r="Z91" s="4"/>
      <c r="AA91" s="4"/>
      <c r="AB91" s="5">
        <f t="shared" ref="AB91:AB122" si="80">(Z91)-(AA91)</f>
        <v>0</v>
      </c>
      <c r="AC91" s="6" t="str">
        <f t="shared" ref="AC91:AC122" si="81">IF(AA91=0,"",(Z91)/(AA91))</f>
        <v/>
      </c>
      <c r="AD91" s="4"/>
      <c r="AE91" s="4"/>
      <c r="AF91" s="5">
        <f t="shared" ref="AF91:AF122" si="82">(AD91)-(AE91)</f>
        <v>0</v>
      </c>
      <c r="AG91" s="6" t="str">
        <f t="shared" ref="AG91:AG122" si="83">IF(AE91=0,"",(AD91)/(AE91))</f>
        <v/>
      </c>
      <c r="AH91" s="5">
        <f t="shared" ref="AH91:AH122" si="84">(Z91)+(AD91)</f>
        <v>0</v>
      </c>
      <c r="AI91" s="5">
        <f t="shared" ref="AI91:AI122" si="85">(AA91)+(AE91)</f>
        <v>0</v>
      </c>
      <c r="AJ91" s="5">
        <f t="shared" ref="AJ91:AJ122" si="86">(AH91)-(AI91)</f>
        <v>0</v>
      </c>
      <c r="AK91" s="6" t="str">
        <f t="shared" ref="AK91:AK122" si="87">IF(AI91=0,"",(AH91)/(AI91))</f>
        <v/>
      </c>
      <c r="AL91" s="4"/>
      <c r="AM91" s="4"/>
      <c r="AN91" s="5">
        <f t="shared" ref="AN91:AN122" si="88">(AL91)-(AM91)</f>
        <v>0</v>
      </c>
      <c r="AO91" s="6" t="str">
        <f t="shared" ref="AO91:AO122" si="89">IF(AM91=0,"",(AL91)/(AM91))</f>
        <v/>
      </c>
      <c r="AP91" s="5">
        <f t="shared" ref="AP91:AP122" si="90">(((J91)+(V91))+(AH91))+(AL91)</f>
        <v>0</v>
      </c>
      <c r="AQ91" s="5">
        <f t="shared" ref="AQ91:AQ122" si="91">(((K91)+(W91))+(AI91))+(AM91)</f>
        <v>0</v>
      </c>
      <c r="AR91" s="5">
        <f t="shared" ref="AR91:AR122" si="92">(AP91)-(AQ91)</f>
        <v>0</v>
      </c>
      <c r="AS91" s="6" t="str">
        <f t="shared" ref="AS91:AS122" si="93">IF(AQ91=0,"",(AP91)/(AQ91))</f>
        <v/>
      </c>
    </row>
    <row r="92" spans="1:45" ht="25" x14ac:dyDescent="0.2">
      <c r="A92" s="3" t="s">
        <v>100</v>
      </c>
      <c r="B92" s="4"/>
      <c r="C92" s="4"/>
      <c r="D92" s="5">
        <f t="shared" si="64"/>
        <v>0</v>
      </c>
      <c r="E92" s="6" t="str">
        <f t="shared" si="65"/>
        <v/>
      </c>
      <c r="F92" s="4"/>
      <c r="G92" s="4"/>
      <c r="H92" s="5">
        <f t="shared" si="66"/>
        <v>0</v>
      </c>
      <c r="I92" s="6" t="str">
        <f t="shared" si="67"/>
        <v/>
      </c>
      <c r="J92" s="5">
        <f t="shared" si="68"/>
        <v>0</v>
      </c>
      <c r="K92" s="5">
        <f t="shared" si="69"/>
        <v>0</v>
      </c>
      <c r="L92" s="5">
        <f t="shared" si="70"/>
        <v>0</v>
      </c>
      <c r="M92" s="6" t="str">
        <f t="shared" si="71"/>
        <v/>
      </c>
      <c r="N92" s="5">
        <f>5453.98</f>
        <v>5453.98</v>
      </c>
      <c r="O92" s="5">
        <f>11498</f>
        <v>11498</v>
      </c>
      <c r="P92" s="5">
        <f t="shared" si="72"/>
        <v>-6044.02</v>
      </c>
      <c r="Q92" s="6">
        <f t="shared" si="73"/>
        <v>0.47434162463037044</v>
      </c>
      <c r="R92" s="4"/>
      <c r="S92" s="4"/>
      <c r="T92" s="5">
        <f t="shared" si="74"/>
        <v>0</v>
      </c>
      <c r="U92" s="6" t="str">
        <f t="shared" si="75"/>
        <v/>
      </c>
      <c r="V92" s="5">
        <f t="shared" si="76"/>
        <v>5453.98</v>
      </c>
      <c r="W92" s="5">
        <f t="shared" si="77"/>
        <v>11498</v>
      </c>
      <c r="X92" s="5">
        <f t="shared" si="78"/>
        <v>-6044.02</v>
      </c>
      <c r="Y92" s="6">
        <f t="shared" si="79"/>
        <v>0.47434162463037044</v>
      </c>
      <c r="Z92" s="4"/>
      <c r="AA92" s="4"/>
      <c r="AB92" s="5">
        <f t="shared" si="80"/>
        <v>0</v>
      </c>
      <c r="AC92" s="6" t="str">
        <f t="shared" si="81"/>
        <v/>
      </c>
      <c r="AD92" s="4"/>
      <c r="AE92" s="4"/>
      <c r="AF92" s="5">
        <f t="shared" si="82"/>
        <v>0</v>
      </c>
      <c r="AG92" s="6" t="str">
        <f t="shared" si="83"/>
        <v/>
      </c>
      <c r="AH92" s="5">
        <f t="shared" si="84"/>
        <v>0</v>
      </c>
      <c r="AI92" s="5">
        <f t="shared" si="85"/>
        <v>0</v>
      </c>
      <c r="AJ92" s="5">
        <f t="shared" si="86"/>
        <v>0</v>
      </c>
      <c r="AK92" s="6" t="str">
        <f t="shared" si="87"/>
        <v/>
      </c>
      <c r="AL92" s="4"/>
      <c r="AM92" s="4"/>
      <c r="AN92" s="5">
        <f t="shared" si="88"/>
        <v>0</v>
      </c>
      <c r="AO92" s="6" t="str">
        <f t="shared" si="89"/>
        <v/>
      </c>
      <c r="AP92" s="5">
        <f t="shared" si="90"/>
        <v>5453.98</v>
      </c>
      <c r="AQ92" s="5">
        <f t="shared" si="91"/>
        <v>11498</v>
      </c>
      <c r="AR92" s="5">
        <f t="shared" si="92"/>
        <v>-6044.02</v>
      </c>
      <c r="AS92" s="6">
        <f t="shared" si="93"/>
        <v>0.47434162463037044</v>
      </c>
    </row>
    <row r="93" spans="1:45" x14ac:dyDescent="0.2">
      <c r="A93" s="3" t="s">
        <v>101</v>
      </c>
      <c r="B93" s="4"/>
      <c r="C93" s="4"/>
      <c r="D93" s="5">
        <f t="shared" si="64"/>
        <v>0</v>
      </c>
      <c r="E93" s="6" t="str">
        <f t="shared" si="65"/>
        <v/>
      </c>
      <c r="F93" s="4"/>
      <c r="G93" s="4"/>
      <c r="H93" s="5">
        <f t="shared" si="66"/>
        <v>0</v>
      </c>
      <c r="I93" s="6" t="str">
        <f t="shared" si="67"/>
        <v/>
      </c>
      <c r="J93" s="5">
        <f t="shared" si="68"/>
        <v>0</v>
      </c>
      <c r="K93" s="5">
        <f t="shared" si="69"/>
        <v>0</v>
      </c>
      <c r="L93" s="5">
        <f t="shared" si="70"/>
        <v>0</v>
      </c>
      <c r="M93" s="6" t="str">
        <f t="shared" si="71"/>
        <v/>
      </c>
      <c r="N93" s="5">
        <f>4988.86</f>
        <v>4988.8599999999997</v>
      </c>
      <c r="O93" s="4"/>
      <c r="P93" s="5">
        <f t="shared" si="72"/>
        <v>4988.8599999999997</v>
      </c>
      <c r="Q93" s="6" t="str">
        <f t="shared" si="73"/>
        <v/>
      </c>
      <c r="R93" s="4"/>
      <c r="S93" s="4"/>
      <c r="T93" s="5">
        <f t="shared" si="74"/>
        <v>0</v>
      </c>
      <c r="U93" s="6" t="str">
        <f t="shared" si="75"/>
        <v/>
      </c>
      <c r="V93" s="5">
        <f t="shared" si="76"/>
        <v>4988.8599999999997</v>
      </c>
      <c r="W93" s="5">
        <f t="shared" si="77"/>
        <v>0</v>
      </c>
      <c r="X93" s="5">
        <f t="shared" si="78"/>
        <v>4988.8599999999997</v>
      </c>
      <c r="Y93" s="6" t="str">
        <f t="shared" si="79"/>
        <v/>
      </c>
      <c r="Z93" s="5">
        <f>9183.29</f>
        <v>9183.2900000000009</v>
      </c>
      <c r="AA93" s="5">
        <f>34398</f>
        <v>34398</v>
      </c>
      <c r="AB93" s="5">
        <f t="shared" si="80"/>
        <v>-25214.71</v>
      </c>
      <c r="AC93" s="6">
        <f t="shared" si="81"/>
        <v>0.26697162625734056</v>
      </c>
      <c r="AD93" s="4"/>
      <c r="AE93" s="4"/>
      <c r="AF93" s="5">
        <f t="shared" si="82"/>
        <v>0</v>
      </c>
      <c r="AG93" s="6" t="str">
        <f t="shared" si="83"/>
        <v/>
      </c>
      <c r="AH93" s="5">
        <f t="shared" si="84"/>
        <v>9183.2900000000009</v>
      </c>
      <c r="AI93" s="5">
        <f t="shared" si="85"/>
        <v>34398</v>
      </c>
      <c r="AJ93" s="5">
        <f t="shared" si="86"/>
        <v>-25214.71</v>
      </c>
      <c r="AK93" s="6">
        <f t="shared" si="87"/>
        <v>0.26697162625734056</v>
      </c>
      <c r="AL93" s="4"/>
      <c r="AM93" s="4"/>
      <c r="AN93" s="5">
        <f t="shared" si="88"/>
        <v>0</v>
      </c>
      <c r="AO93" s="6" t="str">
        <f t="shared" si="89"/>
        <v/>
      </c>
      <c r="AP93" s="5">
        <f t="shared" si="90"/>
        <v>14172.150000000001</v>
      </c>
      <c r="AQ93" s="5">
        <f t="shared" si="91"/>
        <v>34398</v>
      </c>
      <c r="AR93" s="5">
        <f t="shared" si="92"/>
        <v>-20225.849999999999</v>
      </c>
      <c r="AS93" s="6">
        <f t="shared" si="93"/>
        <v>0.41200505843362989</v>
      </c>
    </row>
    <row r="94" spans="1:45" x14ac:dyDescent="0.2">
      <c r="A94" s="3" t="s">
        <v>102</v>
      </c>
      <c r="B94" s="5">
        <f>5682.77</f>
        <v>5682.77</v>
      </c>
      <c r="C94" s="5">
        <f>8100</f>
        <v>8100</v>
      </c>
      <c r="D94" s="5">
        <f t="shared" si="64"/>
        <v>-2417.2299999999996</v>
      </c>
      <c r="E94" s="6">
        <f t="shared" si="65"/>
        <v>0.70157654320987661</v>
      </c>
      <c r="F94" s="4"/>
      <c r="G94" s="4"/>
      <c r="H94" s="5">
        <f t="shared" si="66"/>
        <v>0</v>
      </c>
      <c r="I94" s="6" t="str">
        <f t="shared" si="67"/>
        <v/>
      </c>
      <c r="J94" s="5">
        <f t="shared" si="68"/>
        <v>5682.77</v>
      </c>
      <c r="K94" s="5">
        <f t="shared" si="69"/>
        <v>8100</v>
      </c>
      <c r="L94" s="5">
        <f t="shared" si="70"/>
        <v>-2417.2299999999996</v>
      </c>
      <c r="M94" s="6">
        <f t="shared" si="71"/>
        <v>0.70157654320987661</v>
      </c>
      <c r="N94" s="4"/>
      <c r="O94" s="4"/>
      <c r="P94" s="5">
        <f t="shared" si="72"/>
        <v>0</v>
      </c>
      <c r="Q94" s="6" t="str">
        <f t="shared" si="73"/>
        <v/>
      </c>
      <c r="R94" s="4"/>
      <c r="S94" s="4"/>
      <c r="T94" s="5">
        <f t="shared" si="74"/>
        <v>0</v>
      </c>
      <c r="U94" s="6" t="str">
        <f t="shared" si="75"/>
        <v/>
      </c>
      <c r="V94" s="5">
        <f t="shared" si="76"/>
        <v>0</v>
      </c>
      <c r="W94" s="5">
        <f t="shared" si="77"/>
        <v>0</v>
      </c>
      <c r="X94" s="5">
        <f t="shared" si="78"/>
        <v>0</v>
      </c>
      <c r="Y94" s="6" t="str">
        <f t="shared" si="79"/>
        <v/>
      </c>
      <c r="Z94" s="4"/>
      <c r="AA94" s="4"/>
      <c r="AB94" s="5">
        <f t="shared" si="80"/>
        <v>0</v>
      </c>
      <c r="AC94" s="6" t="str">
        <f t="shared" si="81"/>
        <v/>
      </c>
      <c r="AD94" s="4"/>
      <c r="AE94" s="4"/>
      <c r="AF94" s="5">
        <f t="shared" si="82"/>
        <v>0</v>
      </c>
      <c r="AG94" s="6" t="str">
        <f t="shared" si="83"/>
        <v/>
      </c>
      <c r="AH94" s="5">
        <f t="shared" si="84"/>
        <v>0</v>
      </c>
      <c r="AI94" s="5">
        <f t="shared" si="85"/>
        <v>0</v>
      </c>
      <c r="AJ94" s="5">
        <f t="shared" si="86"/>
        <v>0</v>
      </c>
      <c r="AK94" s="6" t="str">
        <f t="shared" si="87"/>
        <v/>
      </c>
      <c r="AL94" s="4"/>
      <c r="AM94" s="4"/>
      <c r="AN94" s="5">
        <f t="shared" si="88"/>
        <v>0</v>
      </c>
      <c r="AO94" s="6" t="str">
        <f t="shared" si="89"/>
        <v/>
      </c>
      <c r="AP94" s="5">
        <f t="shared" si="90"/>
        <v>5682.77</v>
      </c>
      <c r="AQ94" s="5">
        <f t="shared" si="91"/>
        <v>8100</v>
      </c>
      <c r="AR94" s="5">
        <f t="shared" si="92"/>
        <v>-2417.2299999999996</v>
      </c>
      <c r="AS94" s="6">
        <f t="shared" si="93"/>
        <v>0.70157654320987661</v>
      </c>
    </row>
    <row r="95" spans="1:45" x14ac:dyDescent="0.2">
      <c r="A95" s="3" t="s">
        <v>103</v>
      </c>
      <c r="B95" s="5">
        <f>19484.86</f>
        <v>19484.86</v>
      </c>
      <c r="C95" s="5">
        <f>23308.5</f>
        <v>23308.5</v>
      </c>
      <c r="D95" s="5">
        <f t="shared" si="64"/>
        <v>-3823.6399999999994</v>
      </c>
      <c r="E95" s="6">
        <f t="shared" si="65"/>
        <v>0.83595512366733171</v>
      </c>
      <c r="F95" s="4"/>
      <c r="G95" s="4"/>
      <c r="H95" s="5">
        <f t="shared" si="66"/>
        <v>0</v>
      </c>
      <c r="I95" s="6" t="str">
        <f t="shared" si="67"/>
        <v/>
      </c>
      <c r="J95" s="5">
        <f t="shared" si="68"/>
        <v>19484.86</v>
      </c>
      <c r="K95" s="5">
        <f t="shared" si="69"/>
        <v>23308.5</v>
      </c>
      <c r="L95" s="5">
        <f t="shared" si="70"/>
        <v>-3823.6399999999994</v>
      </c>
      <c r="M95" s="6">
        <f t="shared" si="71"/>
        <v>0.83595512366733171</v>
      </c>
      <c r="N95" s="5">
        <f>9145.66</f>
        <v>9145.66</v>
      </c>
      <c r="O95" s="5">
        <f>15477</f>
        <v>15477</v>
      </c>
      <c r="P95" s="5">
        <f t="shared" si="72"/>
        <v>-6331.34</v>
      </c>
      <c r="Q95" s="6">
        <f t="shared" si="73"/>
        <v>0.59091942882987658</v>
      </c>
      <c r="R95" s="4"/>
      <c r="S95" s="4"/>
      <c r="T95" s="5">
        <f t="shared" si="74"/>
        <v>0</v>
      </c>
      <c r="U95" s="6" t="str">
        <f t="shared" si="75"/>
        <v/>
      </c>
      <c r="V95" s="5">
        <f t="shared" si="76"/>
        <v>9145.66</v>
      </c>
      <c r="W95" s="5">
        <f t="shared" si="77"/>
        <v>15477</v>
      </c>
      <c r="X95" s="5">
        <f t="shared" si="78"/>
        <v>-6331.34</v>
      </c>
      <c r="Y95" s="6">
        <f t="shared" si="79"/>
        <v>0.59091942882987658</v>
      </c>
      <c r="Z95" s="5">
        <f>9179.26</f>
        <v>9179.26</v>
      </c>
      <c r="AA95" s="5">
        <f>15477</f>
        <v>15477</v>
      </c>
      <c r="AB95" s="5">
        <f t="shared" si="80"/>
        <v>-6297.74</v>
      </c>
      <c r="AC95" s="6">
        <f t="shared" si="81"/>
        <v>0.59309039219486981</v>
      </c>
      <c r="AD95" s="4"/>
      <c r="AE95" s="4"/>
      <c r="AF95" s="5">
        <f t="shared" si="82"/>
        <v>0</v>
      </c>
      <c r="AG95" s="6" t="str">
        <f t="shared" si="83"/>
        <v/>
      </c>
      <c r="AH95" s="5">
        <f t="shared" si="84"/>
        <v>9179.26</v>
      </c>
      <c r="AI95" s="5">
        <f t="shared" si="85"/>
        <v>15477</v>
      </c>
      <c r="AJ95" s="5">
        <f t="shared" si="86"/>
        <v>-6297.74</v>
      </c>
      <c r="AK95" s="6">
        <f t="shared" si="87"/>
        <v>0.59309039219486981</v>
      </c>
      <c r="AL95" s="4"/>
      <c r="AM95" s="4"/>
      <c r="AN95" s="5">
        <f t="shared" si="88"/>
        <v>0</v>
      </c>
      <c r="AO95" s="6" t="str">
        <f t="shared" si="89"/>
        <v/>
      </c>
      <c r="AP95" s="5">
        <f t="shared" si="90"/>
        <v>37809.78</v>
      </c>
      <c r="AQ95" s="5">
        <f t="shared" si="91"/>
        <v>54262.5</v>
      </c>
      <c r="AR95" s="5">
        <f t="shared" si="92"/>
        <v>-16452.72</v>
      </c>
      <c r="AS95" s="6">
        <f t="shared" si="93"/>
        <v>0.69679391845196958</v>
      </c>
    </row>
    <row r="96" spans="1:45" x14ac:dyDescent="0.2">
      <c r="A96" s="3" t="s">
        <v>104</v>
      </c>
      <c r="B96" s="5">
        <f>10489.88</f>
        <v>10489.88</v>
      </c>
      <c r="C96" s="5">
        <f>15100</f>
        <v>15100</v>
      </c>
      <c r="D96" s="5">
        <f t="shared" si="64"/>
        <v>-4610.1200000000008</v>
      </c>
      <c r="E96" s="6">
        <f t="shared" si="65"/>
        <v>0.69469403973509924</v>
      </c>
      <c r="F96" s="4"/>
      <c r="G96" s="4"/>
      <c r="H96" s="5">
        <f t="shared" si="66"/>
        <v>0</v>
      </c>
      <c r="I96" s="6" t="str">
        <f t="shared" si="67"/>
        <v/>
      </c>
      <c r="J96" s="5">
        <f t="shared" si="68"/>
        <v>10489.88</v>
      </c>
      <c r="K96" s="5">
        <f t="shared" si="69"/>
        <v>15100</v>
      </c>
      <c r="L96" s="5">
        <f t="shared" si="70"/>
        <v>-4610.1200000000008</v>
      </c>
      <c r="M96" s="6">
        <f t="shared" si="71"/>
        <v>0.69469403973509924</v>
      </c>
      <c r="N96" s="4"/>
      <c r="O96" s="4"/>
      <c r="P96" s="5">
        <f t="shared" si="72"/>
        <v>0</v>
      </c>
      <c r="Q96" s="6" t="str">
        <f t="shared" si="73"/>
        <v/>
      </c>
      <c r="R96" s="4"/>
      <c r="S96" s="4"/>
      <c r="T96" s="5">
        <f t="shared" si="74"/>
        <v>0</v>
      </c>
      <c r="U96" s="6" t="str">
        <f t="shared" si="75"/>
        <v/>
      </c>
      <c r="V96" s="5">
        <f t="shared" si="76"/>
        <v>0</v>
      </c>
      <c r="W96" s="5">
        <f t="shared" si="77"/>
        <v>0</v>
      </c>
      <c r="X96" s="5">
        <f t="shared" si="78"/>
        <v>0</v>
      </c>
      <c r="Y96" s="6" t="str">
        <f t="shared" si="79"/>
        <v/>
      </c>
      <c r="Z96" s="4"/>
      <c r="AA96" s="4"/>
      <c r="AB96" s="5">
        <f t="shared" si="80"/>
        <v>0</v>
      </c>
      <c r="AC96" s="6" t="str">
        <f t="shared" si="81"/>
        <v/>
      </c>
      <c r="AD96" s="4"/>
      <c r="AE96" s="4"/>
      <c r="AF96" s="5">
        <f t="shared" si="82"/>
        <v>0</v>
      </c>
      <c r="AG96" s="6" t="str">
        <f t="shared" si="83"/>
        <v/>
      </c>
      <c r="AH96" s="5">
        <f t="shared" si="84"/>
        <v>0</v>
      </c>
      <c r="AI96" s="5">
        <f t="shared" si="85"/>
        <v>0</v>
      </c>
      <c r="AJ96" s="5">
        <f t="shared" si="86"/>
        <v>0</v>
      </c>
      <c r="AK96" s="6" t="str">
        <f t="shared" si="87"/>
        <v/>
      </c>
      <c r="AL96" s="4"/>
      <c r="AM96" s="4"/>
      <c r="AN96" s="5">
        <f t="shared" si="88"/>
        <v>0</v>
      </c>
      <c r="AO96" s="6" t="str">
        <f t="shared" si="89"/>
        <v/>
      </c>
      <c r="AP96" s="5">
        <f t="shared" si="90"/>
        <v>10489.88</v>
      </c>
      <c r="AQ96" s="5">
        <f t="shared" si="91"/>
        <v>15100</v>
      </c>
      <c r="AR96" s="5">
        <f t="shared" si="92"/>
        <v>-4610.1200000000008</v>
      </c>
      <c r="AS96" s="6">
        <f t="shared" si="93"/>
        <v>0.69469403973509924</v>
      </c>
    </row>
    <row r="97" spans="1:45" x14ac:dyDescent="0.2">
      <c r="A97" s="3" t="s">
        <v>105</v>
      </c>
      <c r="B97" s="4"/>
      <c r="C97" s="4"/>
      <c r="D97" s="5">
        <f t="shared" si="64"/>
        <v>0</v>
      </c>
      <c r="E97" s="6" t="str">
        <f t="shared" si="65"/>
        <v/>
      </c>
      <c r="F97" s="4"/>
      <c r="G97" s="4"/>
      <c r="H97" s="5">
        <f t="shared" si="66"/>
        <v>0</v>
      </c>
      <c r="I97" s="6" t="str">
        <f t="shared" si="67"/>
        <v/>
      </c>
      <c r="J97" s="5">
        <f t="shared" si="68"/>
        <v>0</v>
      </c>
      <c r="K97" s="5">
        <f t="shared" si="69"/>
        <v>0</v>
      </c>
      <c r="L97" s="5">
        <f t="shared" si="70"/>
        <v>0</v>
      </c>
      <c r="M97" s="6" t="str">
        <f t="shared" si="71"/>
        <v/>
      </c>
      <c r="N97" s="5">
        <f>25996.68</f>
        <v>25996.68</v>
      </c>
      <c r="O97" s="5">
        <f>30500</f>
        <v>30500</v>
      </c>
      <c r="P97" s="5">
        <f t="shared" si="72"/>
        <v>-4503.32</v>
      </c>
      <c r="Q97" s="6">
        <f t="shared" si="73"/>
        <v>0.8523501639344262</v>
      </c>
      <c r="R97" s="4"/>
      <c r="S97" s="4"/>
      <c r="T97" s="5">
        <f t="shared" si="74"/>
        <v>0</v>
      </c>
      <c r="U97" s="6" t="str">
        <f t="shared" si="75"/>
        <v/>
      </c>
      <c r="V97" s="5">
        <f t="shared" si="76"/>
        <v>25996.68</v>
      </c>
      <c r="W97" s="5">
        <f t="shared" si="77"/>
        <v>30500</v>
      </c>
      <c r="X97" s="5">
        <f t="shared" si="78"/>
        <v>-4503.32</v>
      </c>
      <c r="Y97" s="6">
        <f t="shared" si="79"/>
        <v>0.8523501639344262</v>
      </c>
      <c r="Z97" s="4"/>
      <c r="AA97" s="4"/>
      <c r="AB97" s="5">
        <f t="shared" si="80"/>
        <v>0</v>
      </c>
      <c r="AC97" s="6" t="str">
        <f t="shared" si="81"/>
        <v/>
      </c>
      <c r="AD97" s="4"/>
      <c r="AE97" s="4"/>
      <c r="AF97" s="5">
        <f t="shared" si="82"/>
        <v>0</v>
      </c>
      <c r="AG97" s="6" t="str">
        <f t="shared" si="83"/>
        <v/>
      </c>
      <c r="AH97" s="5">
        <f t="shared" si="84"/>
        <v>0</v>
      </c>
      <c r="AI97" s="5">
        <f t="shared" si="85"/>
        <v>0</v>
      </c>
      <c r="AJ97" s="5">
        <f t="shared" si="86"/>
        <v>0</v>
      </c>
      <c r="AK97" s="6" t="str">
        <f t="shared" si="87"/>
        <v/>
      </c>
      <c r="AL97" s="4"/>
      <c r="AM97" s="4"/>
      <c r="AN97" s="5">
        <f t="shared" si="88"/>
        <v>0</v>
      </c>
      <c r="AO97" s="6" t="str">
        <f t="shared" si="89"/>
        <v/>
      </c>
      <c r="AP97" s="5">
        <f t="shared" si="90"/>
        <v>25996.68</v>
      </c>
      <c r="AQ97" s="5">
        <f t="shared" si="91"/>
        <v>30500</v>
      </c>
      <c r="AR97" s="5">
        <f t="shared" si="92"/>
        <v>-4503.32</v>
      </c>
      <c r="AS97" s="6">
        <f t="shared" si="93"/>
        <v>0.8523501639344262</v>
      </c>
    </row>
    <row r="98" spans="1:45" x14ac:dyDescent="0.2">
      <c r="A98" s="3" t="s">
        <v>106</v>
      </c>
      <c r="B98" s="4"/>
      <c r="C98" s="4"/>
      <c r="D98" s="5">
        <f t="shared" si="64"/>
        <v>0</v>
      </c>
      <c r="E98" s="6" t="str">
        <f t="shared" si="65"/>
        <v/>
      </c>
      <c r="F98" s="4"/>
      <c r="G98" s="4"/>
      <c r="H98" s="5">
        <f t="shared" si="66"/>
        <v>0</v>
      </c>
      <c r="I98" s="6" t="str">
        <f t="shared" si="67"/>
        <v/>
      </c>
      <c r="J98" s="5">
        <f t="shared" si="68"/>
        <v>0</v>
      </c>
      <c r="K98" s="5">
        <f t="shared" si="69"/>
        <v>0</v>
      </c>
      <c r="L98" s="5">
        <f t="shared" si="70"/>
        <v>0</v>
      </c>
      <c r="M98" s="6" t="str">
        <f t="shared" si="71"/>
        <v/>
      </c>
      <c r="N98" s="5">
        <f>-550.58</f>
        <v>-550.58000000000004</v>
      </c>
      <c r="O98" s="5">
        <f>3170</f>
        <v>3170</v>
      </c>
      <c r="P98" s="5">
        <f t="shared" si="72"/>
        <v>-3720.58</v>
      </c>
      <c r="Q98" s="6">
        <f t="shared" si="73"/>
        <v>-0.17368454258675081</v>
      </c>
      <c r="R98" s="4"/>
      <c r="S98" s="4"/>
      <c r="T98" s="5">
        <f t="shared" si="74"/>
        <v>0</v>
      </c>
      <c r="U98" s="6" t="str">
        <f t="shared" si="75"/>
        <v/>
      </c>
      <c r="V98" s="5">
        <f t="shared" si="76"/>
        <v>-550.58000000000004</v>
      </c>
      <c r="W98" s="5">
        <f t="shared" si="77"/>
        <v>3170</v>
      </c>
      <c r="X98" s="5">
        <f t="shared" si="78"/>
        <v>-3720.58</v>
      </c>
      <c r="Y98" s="6">
        <f t="shared" si="79"/>
        <v>-0.17368454258675081</v>
      </c>
      <c r="Z98" s="5">
        <f>480.01</f>
        <v>480.01</v>
      </c>
      <c r="AA98" s="5">
        <f>3170</f>
        <v>3170</v>
      </c>
      <c r="AB98" s="5">
        <f t="shared" si="80"/>
        <v>-2689.99</v>
      </c>
      <c r="AC98" s="6">
        <f t="shared" si="81"/>
        <v>0.15142271293375395</v>
      </c>
      <c r="AD98" s="4"/>
      <c r="AE98" s="4"/>
      <c r="AF98" s="5">
        <f t="shared" si="82"/>
        <v>0</v>
      </c>
      <c r="AG98" s="6" t="str">
        <f t="shared" si="83"/>
        <v/>
      </c>
      <c r="AH98" s="5">
        <f t="shared" si="84"/>
        <v>480.01</v>
      </c>
      <c r="AI98" s="5">
        <f t="shared" si="85"/>
        <v>3170</v>
      </c>
      <c r="AJ98" s="5">
        <f t="shared" si="86"/>
        <v>-2689.99</v>
      </c>
      <c r="AK98" s="6">
        <f t="shared" si="87"/>
        <v>0.15142271293375395</v>
      </c>
      <c r="AL98" s="4"/>
      <c r="AM98" s="4"/>
      <c r="AN98" s="5">
        <f t="shared" si="88"/>
        <v>0</v>
      </c>
      <c r="AO98" s="6" t="str">
        <f t="shared" si="89"/>
        <v/>
      </c>
      <c r="AP98" s="5">
        <f t="shared" si="90"/>
        <v>-70.57000000000005</v>
      </c>
      <c r="AQ98" s="5">
        <f t="shared" si="91"/>
        <v>6340</v>
      </c>
      <c r="AR98" s="5">
        <f t="shared" si="92"/>
        <v>-6410.57</v>
      </c>
      <c r="AS98" s="6">
        <f t="shared" si="93"/>
        <v>-1.1130914826498431E-2</v>
      </c>
    </row>
    <row r="99" spans="1:45" x14ac:dyDescent="0.2">
      <c r="A99" s="3" t="s">
        <v>107</v>
      </c>
      <c r="B99" s="5">
        <f>31718.66</f>
        <v>31718.66</v>
      </c>
      <c r="C99" s="5">
        <f>37960</f>
        <v>37960</v>
      </c>
      <c r="D99" s="5">
        <f t="shared" si="64"/>
        <v>-6241.34</v>
      </c>
      <c r="E99" s="6">
        <f t="shared" si="65"/>
        <v>0.83558113804004219</v>
      </c>
      <c r="F99" s="4"/>
      <c r="G99" s="4"/>
      <c r="H99" s="5">
        <f t="shared" si="66"/>
        <v>0</v>
      </c>
      <c r="I99" s="6" t="str">
        <f t="shared" si="67"/>
        <v/>
      </c>
      <c r="J99" s="5">
        <f t="shared" si="68"/>
        <v>31718.66</v>
      </c>
      <c r="K99" s="5">
        <f t="shared" si="69"/>
        <v>37960</v>
      </c>
      <c r="L99" s="5">
        <f t="shared" si="70"/>
        <v>-6241.34</v>
      </c>
      <c r="M99" s="6">
        <f t="shared" si="71"/>
        <v>0.83558113804004219</v>
      </c>
      <c r="N99" s="4"/>
      <c r="O99" s="4"/>
      <c r="P99" s="5">
        <f t="shared" si="72"/>
        <v>0</v>
      </c>
      <c r="Q99" s="6" t="str">
        <f t="shared" si="73"/>
        <v/>
      </c>
      <c r="R99" s="4"/>
      <c r="S99" s="4"/>
      <c r="T99" s="5">
        <f t="shared" si="74"/>
        <v>0</v>
      </c>
      <c r="U99" s="6" t="str">
        <f t="shared" si="75"/>
        <v/>
      </c>
      <c r="V99" s="5">
        <f t="shared" si="76"/>
        <v>0</v>
      </c>
      <c r="W99" s="5">
        <f t="shared" si="77"/>
        <v>0</v>
      </c>
      <c r="X99" s="5">
        <f t="shared" si="78"/>
        <v>0</v>
      </c>
      <c r="Y99" s="6" t="str">
        <f t="shared" si="79"/>
        <v/>
      </c>
      <c r="Z99" s="4"/>
      <c r="AA99" s="4"/>
      <c r="AB99" s="5">
        <f t="shared" si="80"/>
        <v>0</v>
      </c>
      <c r="AC99" s="6" t="str">
        <f t="shared" si="81"/>
        <v/>
      </c>
      <c r="AD99" s="4"/>
      <c r="AE99" s="4"/>
      <c r="AF99" s="5">
        <f t="shared" si="82"/>
        <v>0</v>
      </c>
      <c r="AG99" s="6" t="str">
        <f t="shared" si="83"/>
        <v/>
      </c>
      <c r="AH99" s="5">
        <f t="shared" si="84"/>
        <v>0</v>
      </c>
      <c r="AI99" s="5">
        <f t="shared" si="85"/>
        <v>0</v>
      </c>
      <c r="AJ99" s="5">
        <f t="shared" si="86"/>
        <v>0</v>
      </c>
      <c r="AK99" s="6" t="str">
        <f t="shared" si="87"/>
        <v/>
      </c>
      <c r="AL99" s="4"/>
      <c r="AM99" s="4"/>
      <c r="AN99" s="5">
        <f t="shared" si="88"/>
        <v>0</v>
      </c>
      <c r="AO99" s="6" t="str">
        <f t="shared" si="89"/>
        <v/>
      </c>
      <c r="AP99" s="5">
        <f t="shared" si="90"/>
        <v>31718.66</v>
      </c>
      <c r="AQ99" s="5">
        <f t="shared" si="91"/>
        <v>37960</v>
      </c>
      <c r="AR99" s="5">
        <f t="shared" si="92"/>
        <v>-6241.34</v>
      </c>
      <c r="AS99" s="6">
        <f t="shared" si="93"/>
        <v>0.83558113804004219</v>
      </c>
    </row>
    <row r="100" spans="1:45" x14ac:dyDescent="0.2">
      <c r="A100" s="3" t="s">
        <v>108</v>
      </c>
      <c r="B100" s="5">
        <f>328</f>
        <v>328</v>
      </c>
      <c r="C100" s="5">
        <f>650</f>
        <v>650</v>
      </c>
      <c r="D100" s="5">
        <f t="shared" si="64"/>
        <v>-322</v>
      </c>
      <c r="E100" s="6">
        <f t="shared" si="65"/>
        <v>0.50461538461538458</v>
      </c>
      <c r="F100" s="4"/>
      <c r="G100" s="4"/>
      <c r="H100" s="5">
        <f t="shared" si="66"/>
        <v>0</v>
      </c>
      <c r="I100" s="6" t="str">
        <f t="shared" si="67"/>
        <v/>
      </c>
      <c r="J100" s="5">
        <f t="shared" si="68"/>
        <v>328</v>
      </c>
      <c r="K100" s="5">
        <f t="shared" si="69"/>
        <v>650</v>
      </c>
      <c r="L100" s="5">
        <f t="shared" si="70"/>
        <v>-322</v>
      </c>
      <c r="M100" s="6">
        <f t="shared" si="71"/>
        <v>0.50461538461538458</v>
      </c>
      <c r="N100" s="4"/>
      <c r="O100" s="4"/>
      <c r="P100" s="5">
        <f t="shared" si="72"/>
        <v>0</v>
      </c>
      <c r="Q100" s="6" t="str">
        <f t="shared" si="73"/>
        <v/>
      </c>
      <c r="R100" s="4"/>
      <c r="S100" s="4"/>
      <c r="T100" s="5">
        <f t="shared" si="74"/>
        <v>0</v>
      </c>
      <c r="U100" s="6" t="str">
        <f t="shared" si="75"/>
        <v/>
      </c>
      <c r="V100" s="5">
        <f t="shared" si="76"/>
        <v>0</v>
      </c>
      <c r="W100" s="5">
        <f t="shared" si="77"/>
        <v>0</v>
      </c>
      <c r="X100" s="5">
        <f t="shared" si="78"/>
        <v>0</v>
      </c>
      <c r="Y100" s="6" t="str">
        <f t="shared" si="79"/>
        <v/>
      </c>
      <c r="Z100" s="4"/>
      <c r="AA100" s="4"/>
      <c r="AB100" s="5">
        <f t="shared" si="80"/>
        <v>0</v>
      </c>
      <c r="AC100" s="6" t="str">
        <f t="shared" si="81"/>
        <v/>
      </c>
      <c r="AD100" s="4"/>
      <c r="AE100" s="4"/>
      <c r="AF100" s="5">
        <f t="shared" si="82"/>
        <v>0</v>
      </c>
      <c r="AG100" s="6" t="str">
        <f t="shared" si="83"/>
        <v/>
      </c>
      <c r="AH100" s="5">
        <f t="shared" si="84"/>
        <v>0</v>
      </c>
      <c r="AI100" s="5">
        <f t="shared" si="85"/>
        <v>0</v>
      </c>
      <c r="AJ100" s="5">
        <f t="shared" si="86"/>
        <v>0</v>
      </c>
      <c r="AK100" s="6" t="str">
        <f t="shared" si="87"/>
        <v/>
      </c>
      <c r="AL100" s="4"/>
      <c r="AM100" s="4"/>
      <c r="AN100" s="5">
        <f t="shared" si="88"/>
        <v>0</v>
      </c>
      <c r="AO100" s="6" t="str">
        <f t="shared" si="89"/>
        <v/>
      </c>
      <c r="AP100" s="5">
        <f t="shared" si="90"/>
        <v>328</v>
      </c>
      <c r="AQ100" s="5">
        <f t="shared" si="91"/>
        <v>650</v>
      </c>
      <c r="AR100" s="5">
        <f t="shared" si="92"/>
        <v>-322</v>
      </c>
      <c r="AS100" s="6">
        <f t="shared" si="93"/>
        <v>0.50461538461538458</v>
      </c>
    </row>
    <row r="101" spans="1:45" x14ac:dyDescent="0.2">
      <c r="A101" s="3" t="s">
        <v>109</v>
      </c>
      <c r="B101" s="5">
        <f>8898.84</f>
        <v>8898.84</v>
      </c>
      <c r="C101" s="4"/>
      <c r="D101" s="5">
        <f t="shared" si="64"/>
        <v>8898.84</v>
      </c>
      <c r="E101" s="6" t="str">
        <f t="shared" si="65"/>
        <v/>
      </c>
      <c r="F101" s="4"/>
      <c r="G101" s="4"/>
      <c r="H101" s="5">
        <f t="shared" si="66"/>
        <v>0</v>
      </c>
      <c r="I101" s="6" t="str">
        <f t="shared" si="67"/>
        <v/>
      </c>
      <c r="J101" s="5">
        <f t="shared" si="68"/>
        <v>8898.84</v>
      </c>
      <c r="K101" s="5">
        <f t="shared" si="69"/>
        <v>0</v>
      </c>
      <c r="L101" s="5">
        <f t="shared" si="70"/>
        <v>8898.84</v>
      </c>
      <c r="M101" s="6" t="str">
        <f t="shared" si="71"/>
        <v/>
      </c>
      <c r="N101" s="4"/>
      <c r="O101" s="4"/>
      <c r="P101" s="5">
        <f t="shared" si="72"/>
        <v>0</v>
      </c>
      <c r="Q101" s="6" t="str">
        <f t="shared" si="73"/>
        <v/>
      </c>
      <c r="R101" s="4"/>
      <c r="S101" s="4"/>
      <c r="T101" s="5">
        <f t="shared" si="74"/>
        <v>0</v>
      </c>
      <c r="U101" s="6" t="str">
        <f t="shared" si="75"/>
        <v/>
      </c>
      <c r="V101" s="5">
        <f t="shared" si="76"/>
        <v>0</v>
      </c>
      <c r="W101" s="5">
        <f t="shared" si="77"/>
        <v>0</v>
      </c>
      <c r="X101" s="5">
        <f t="shared" si="78"/>
        <v>0</v>
      </c>
      <c r="Y101" s="6" t="str">
        <f t="shared" si="79"/>
        <v/>
      </c>
      <c r="Z101" s="4"/>
      <c r="AA101" s="4"/>
      <c r="AB101" s="5">
        <f t="shared" si="80"/>
        <v>0</v>
      </c>
      <c r="AC101" s="6" t="str">
        <f t="shared" si="81"/>
        <v/>
      </c>
      <c r="AD101" s="4"/>
      <c r="AE101" s="4"/>
      <c r="AF101" s="5">
        <f t="shared" si="82"/>
        <v>0</v>
      </c>
      <c r="AG101" s="6" t="str">
        <f t="shared" si="83"/>
        <v/>
      </c>
      <c r="AH101" s="5">
        <f t="shared" si="84"/>
        <v>0</v>
      </c>
      <c r="AI101" s="5">
        <f t="shared" si="85"/>
        <v>0</v>
      </c>
      <c r="AJ101" s="5">
        <f t="shared" si="86"/>
        <v>0</v>
      </c>
      <c r="AK101" s="6" t="str">
        <f t="shared" si="87"/>
        <v/>
      </c>
      <c r="AL101" s="4"/>
      <c r="AM101" s="4"/>
      <c r="AN101" s="5">
        <f t="shared" si="88"/>
        <v>0</v>
      </c>
      <c r="AO101" s="6" t="str">
        <f t="shared" si="89"/>
        <v/>
      </c>
      <c r="AP101" s="5">
        <f t="shared" si="90"/>
        <v>8898.84</v>
      </c>
      <c r="AQ101" s="5">
        <f t="shared" si="91"/>
        <v>0</v>
      </c>
      <c r="AR101" s="5">
        <f t="shared" si="92"/>
        <v>8898.84</v>
      </c>
      <c r="AS101" s="6" t="str">
        <f t="shared" si="93"/>
        <v/>
      </c>
    </row>
    <row r="102" spans="1:45" x14ac:dyDescent="0.2">
      <c r="A102" s="3" t="s">
        <v>110</v>
      </c>
      <c r="B102" s="7">
        <f>((((((((((B91)+(B92))+(B93))+(B94))+(B95))+(B96))+(B97))+(B98))+(B99))+(B100))+(B101)</f>
        <v>76603.009999999995</v>
      </c>
      <c r="C102" s="7">
        <f>((((((((((C91)+(C92))+(C93))+(C94))+(C95))+(C96))+(C97))+(C98))+(C99))+(C100))+(C101)</f>
        <v>85118.5</v>
      </c>
      <c r="D102" s="7">
        <f t="shared" si="64"/>
        <v>-8515.4900000000052</v>
      </c>
      <c r="E102" s="8">
        <f t="shared" si="65"/>
        <v>0.89995723608851186</v>
      </c>
      <c r="F102" s="7">
        <f>((((((((((F91)+(F92))+(F93))+(F94))+(F95))+(F96))+(F97))+(F98))+(F99))+(F100))+(F101)</f>
        <v>0</v>
      </c>
      <c r="G102" s="7">
        <f>((((((((((G91)+(G92))+(G93))+(G94))+(G95))+(G96))+(G97))+(G98))+(G99))+(G100))+(G101)</f>
        <v>0</v>
      </c>
      <c r="H102" s="7">
        <f t="shared" si="66"/>
        <v>0</v>
      </c>
      <c r="I102" s="8" t="str">
        <f t="shared" si="67"/>
        <v/>
      </c>
      <c r="J102" s="7">
        <f t="shared" si="68"/>
        <v>76603.009999999995</v>
      </c>
      <c r="K102" s="7">
        <f t="shared" si="69"/>
        <v>85118.5</v>
      </c>
      <c r="L102" s="7">
        <f t="shared" si="70"/>
        <v>-8515.4900000000052</v>
      </c>
      <c r="M102" s="8">
        <f t="shared" si="71"/>
        <v>0.89995723608851186</v>
      </c>
      <c r="N102" s="7">
        <f>((((((((((N91)+(N92))+(N93))+(N94))+(N95))+(N96))+(N97))+(N98))+(N99))+(N100))+(N101)</f>
        <v>45034.6</v>
      </c>
      <c r="O102" s="7">
        <f>((((((((((O91)+(O92))+(O93))+(O94))+(O95))+(O96))+(O97))+(O98))+(O99))+(O100))+(O101)</f>
        <v>60645</v>
      </c>
      <c r="P102" s="7">
        <f t="shared" si="72"/>
        <v>-15610.400000000001</v>
      </c>
      <c r="Q102" s="8">
        <f t="shared" si="73"/>
        <v>0.74259378349410499</v>
      </c>
      <c r="R102" s="7">
        <f>((((((((((R91)+(R92))+(R93))+(R94))+(R95))+(R96))+(R97))+(R98))+(R99))+(R100))+(R101)</f>
        <v>0</v>
      </c>
      <c r="S102" s="7">
        <f>((((((((((S91)+(S92))+(S93))+(S94))+(S95))+(S96))+(S97))+(S98))+(S99))+(S100))+(S101)</f>
        <v>0</v>
      </c>
      <c r="T102" s="7">
        <f t="shared" si="74"/>
        <v>0</v>
      </c>
      <c r="U102" s="8" t="str">
        <f t="shared" si="75"/>
        <v/>
      </c>
      <c r="V102" s="7">
        <f t="shared" si="76"/>
        <v>45034.6</v>
      </c>
      <c r="W102" s="7">
        <f t="shared" si="77"/>
        <v>60645</v>
      </c>
      <c r="X102" s="7">
        <f t="shared" si="78"/>
        <v>-15610.400000000001</v>
      </c>
      <c r="Y102" s="8">
        <f t="shared" si="79"/>
        <v>0.74259378349410499</v>
      </c>
      <c r="Z102" s="7">
        <f>((((((((((Z91)+(Z92))+(Z93))+(Z94))+(Z95))+(Z96))+(Z97))+(Z98))+(Z99))+(Z100))+(Z101)</f>
        <v>18842.560000000001</v>
      </c>
      <c r="AA102" s="7">
        <f>((((((((((AA91)+(AA92))+(AA93))+(AA94))+(AA95))+(AA96))+(AA97))+(AA98))+(AA99))+(AA100))+(AA101)</f>
        <v>53045</v>
      </c>
      <c r="AB102" s="7">
        <f t="shared" si="80"/>
        <v>-34202.44</v>
      </c>
      <c r="AC102" s="8">
        <f t="shared" si="81"/>
        <v>0.35521839947214634</v>
      </c>
      <c r="AD102" s="7">
        <f>((((((((((AD91)+(AD92))+(AD93))+(AD94))+(AD95))+(AD96))+(AD97))+(AD98))+(AD99))+(AD100))+(AD101)</f>
        <v>0</v>
      </c>
      <c r="AE102" s="7">
        <f>((((((((((AE91)+(AE92))+(AE93))+(AE94))+(AE95))+(AE96))+(AE97))+(AE98))+(AE99))+(AE100))+(AE101)</f>
        <v>0</v>
      </c>
      <c r="AF102" s="7">
        <f t="shared" si="82"/>
        <v>0</v>
      </c>
      <c r="AG102" s="8" t="str">
        <f t="shared" si="83"/>
        <v/>
      </c>
      <c r="AH102" s="7">
        <f t="shared" si="84"/>
        <v>18842.560000000001</v>
      </c>
      <c r="AI102" s="7">
        <f t="shared" si="85"/>
        <v>53045</v>
      </c>
      <c r="AJ102" s="7">
        <f t="shared" si="86"/>
        <v>-34202.44</v>
      </c>
      <c r="AK102" s="8">
        <f t="shared" si="87"/>
        <v>0.35521839947214634</v>
      </c>
      <c r="AL102" s="7">
        <f>((((((((((AL91)+(AL92))+(AL93))+(AL94))+(AL95))+(AL96))+(AL97))+(AL98))+(AL99))+(AL100))+(AL101)</f>
        <v>0</v>
      </c>
      <c r="AM102" s="7">
        <f>((((((((((AM91)+(AM92))+(AM93))+(AM94))+(AM95))+(AM96))+(AM97))+(AM98))+(AM99))+(AM100))+(AM101)</f>
        <v>0</v>
      </c>
      <c r="AN102" s="7">
        <f t="shared" si="88"/>
        <v>0</v>
      </c>
      <c r="AO102" s="8" t="str">
        <f t="shared" si="89"/>
        <v/>
      </c>
      <c r="AP102" s="7">
        <f t="shared" si="90"/>
        <v>140480.16999999998</v>
      </c>
      <c r="AQ102" s="7">
        <f t="shared" si="91"/>
        <v>198808.5</v>
      </c>
      <c r="AR102" s="7">
        <f t="shared" si="92"/>
        <v>-58328.330000000016</v>
      </c>
      <c r="AS102" s="8">
        <f t="shared" si="93"/>
        <v>0.70661048194619436</v>
      </c>
    </row>
    <row r="103" spans="1:45" x14ac:dyDescent="0.2">
      <c r="A103" s="3" t="s">
        <v>111</v>
      </c>
      <c r="B103" s="5">
        <f>1252.9</f>
        <v>1252.9000000000001</v>
      </c>
      <c r="C103" s="5">
        <f>2200</f>
        <v>2200</v>
      </c>
      <c r="D103" s="5">
        <f t="shared" si="64"/>
        <v>-947.09999999999991</v>
      </c>
      <c r="E103" s="6">
        <f t="shared" si="65"/>
        <v>0.56950000000000001</v>
      </c>
      <c r="F103" s="4"/>
      <c r="G103" s="4"/>
      <c r="H103" s="5">
        <f t="shared" si="66"/>
        <v>0</v>
      </c>
      <c r="I103" s="6" t="str">
        <f t="shared" si="67"/>
        <v/>
      </c>
      <c r="J103" s="5">
        <f t="shared" si="68"/>
        <v>1252.9000000000001</v>
      </c>
      <c r="K103" s="5">
        <f t="shared" si="69"/>
        <v>2200</v>
      </c>
      <c r="L103" s="5">
        <f t="shared" si="70"/>
        <v>-947.09999999999991</v>
      </c>
      <c r="M103" s="6">
        <f t="shared" si="71"/>
        <v>0.56950000000000001</v>
      </c>
      <c r="N103" s="5">
        <f>626.44</f>
        <v>626.44000000000005</v>
      </c>
      <c r="O103" s="5">
        <f>1100</f>
        <v>1100</v>
      </c>
      <c r="P103" s="5">
        <f t="shared" si="72"/>
        <v>-473.55999999999995</v>
      </c>
      <c r="Q103" s="6">
        <f t="shared" si="73"/>
        <v>0.56949090909090916</v>
      </c>
      <c r="R103" s="4"/>
      <c r="S103" s="4"/>
      <c r="T103" s="5">
        <f t="shared" si="74"/>
        <v>0</v>
      </c>
      <c r="U103" s="6" t="str">
        <f t="shared" si="75"/>
        <v/>
      </c>
      <c r="V103" s="5">
        <f t="shared" si="76"/>
        <v>626.44000000000005</v>
      </c>
      <c r="W103" s="5">
        <f t="shared" si="77"/>
        <v>1100</v>
      </c>
      <c r="X103" s="5">
        <f t="shared" si="78"/>
        <v>-473.55999999999995</v>
      </c>
      <c r="Y103" s="6">
        <f t="shared" si="79"/>
        <v>0.56949090909090916</v>
      </c>
      <c r="Z103" s="5">
        <f>626.46</f>
        <v>626.46</v>
      </c>
      <c r="AA103" s="5">
        <f>1100</f>
        <v>1100</v>
      </c>
      <c r="AB103" s="5">
        <f t="shared" si="80"/>
        <v>-473.53999999999996</v>
      </c>
      <c r="AC103" s="6">
        <f t="shared" si="81"/>
        <v>0.56950909090909096</v>
      </c>
      <c r="AD103" s="4"/>
      <c r="AE103" s="4"/>
      <c r="AF103" s="5">
        <f t="shared" si="82"/>
        <v>0</v>
      </c>
      <c r="AG103" s="6" t="str">
        <f t="shared" si="83"/>
        <v/>
      </c>
      <c r="AH103" s="5">
        <f t="shared" si="84"/>
        <v>626.46</v>
      </c>
      <c r="AI103" s="5">
        <f t="shared" si="85"/>
        <v>1100</v>
      </c>
      <c r="AJ103" s="5">
        <f t="shared" si="86"/>
        <v>-473.53999999999996</v>
      </c>
      <c r="AK103" s="6">
        <f t="shared" si="87"/>
        <v>0.56950909090909096</v>
      </c>
      <c r="AL103" s="4"/>
      <c r="AM103" s="4"/>
      <c r="AN103" s="5">
        <f t="shared" si="88"/>
        <v>0</v>
      </c>
      <c r="AO103" s="6" t="str">
        <f t="shared" si="89"/>
        <v/>
      </c>
      <c r="AP103" s="5">
        <f t="shared" si="90"/>
        <v>2505.8000000000002</v>
      </c>
      <c r="AQ103" s="5">
        <f t="shared" si="91"/>
        <v>4400</v>
      </c>
      <c r="AR103" s="5">
        <f t="shared" si="92"/>
        <v>-1894.1999999999998</v>
      </c>
      <c r="AS103" s="6">
        <f t="shared" si="93"/>
        <v>0.56950000000000001</v>
      </c>
    </row>
    <row r="104" spans="1:45" x14ac:dyDescent="0.2">
      <c r="A104" s="3" t="s">
        <v>112</v>
      </c>
      <c r="B104" s="5">
        <f>7617.21</f>
        <v>7617.21</v>
      </c>
      <c r="C104" s="5">
        <f>5500</f>
        <v>5500</v>
      </c>
      <c r="D104" s="5">
        <f t="shared" si="64"/>
        <v>2117.21</v>
      </c>
      <c r="E104" s="6">
        <f t="shared" si="65"/>
        <v>1.3849472727272727</v>
      </c>
      <c r="F104" s="4"/>
      <c r="G104" s="4"/>
      <c r="H104" s="5">
        <f t="shared" si="66"/>
        <v>0</v>
      </c>
      <c r="I104" s="6" t="str">
        <f t="shared" si="67"/>
        <v/>
      </c>
      <c r="J104" s="5">
        <f t="shared" si="68"/>
        <v>7617.21</v>
      </c>
      <c r="K104" s="5">
        <f t="shared" si="69"/>
        <v>5500</v>
      </c>
      <c r="L104" s="5">
        <f t="shared" si="70"/>
        <v>2117.21</v>
      </c>
      <c r="M104" s="6">
        <f t="shared" si="71"/>
        <v>1.3849472727272727</v>
      </c>
      <c r="N104" s="5">
        <f>2780.22</f>
        <v>2780.22</v>
      </c>
      <c r="O104" s="5">
        <f>6900</f>
        <v>6900</v>
      </c>
      <c r="P104" s="5">
        <f t="shared" si="72"/>
        <v>-4119.7800000000007</v>
      </c>
      <c r="Q104" s="6">
        <f t="shared" si="73"/>
        <v>0.40293043478260865</v>
      </c>
      <c r="R104" s="4"/>
      <c r="S104" s="4"/>
      <c r="T104" s="5">
        <f t="shared" si="74"/>
        <v>0</v>
      </c>
      <c r="U104" s="6" t="str">
        <f t="shared" si="75"/>
        <v/>
      </c>
      <c r="V104" s="5">
        <f t="shared" si="76"/>
        <v>2780.22</v>
      </c>
      <c r="W104" s="5">
        <f t="shared" si="77"/>
        <v>6900</v>
      </c>
      <c r="X104" s="5">
        <f t="shared" si="78"/>
        <v>-4119.7800000000007</v>
      </c>
      <c r="Y104" s="6">
        <f t="shared" si="79"/>
        <v>0.40293043478260865</v>
      </c>
      <c r="Z104" s="5">
        <f>10831.9</f>
        <v>10831.9</v>
      </c>
      <c r="AA104" s="5">
        <f>6000</f>
        <v>6000</v>
      </c>
      <c r="AB104" s="5">
        <f t="shared" si="80"/>
        <v>4831.8999999999996</v>
      </c>
      <c r="AC104" s="6">
        <f t="shared" si="81"/>
        <v>1.8053166666666667</v>
      </c>
      <c r="AD104" s="4"/>
      <c r="AE104" s="4"/>
      <c r="AF104" s="5">
        <f t="shared" si="82"/>
        <v>0</v>
      </c>
      <c r="AG104" s="6" t="str">
        <f t="shared" si="83"/>
        <v/>
      </c>
      <c r="AH104" s="5">
        <f t="shared" si="84"/>
        <v>10831.9</v>
      </c>
      <c r="AI104" s="5">
        <f t="shared" si="85"/>
        <v>6000</v>
      </c>
      <c r="AJ104" s="5">
        <f t="shared" si="86"/>
        <v>4831.8999999999996</v>
      </c>
      <c r="AK104" s="6">
        <f t="shared" si="87"/>
        <v>1.8053166666666667</v>
      </c>
      <c r="AL104" s="5">
        <f>0</f>
        <v>0</v>
      </c>
      <c r="AM104" s="4"/>
      <c r="AN104" s="5">
        <f t="shared" si="88"/>
        <v>0</v>
      </c>
      <c r="AO104" s="6" t="str">
        <f t="shared" si="89"/>
        <v/>
      </c>
      <c r="AP104" s="5">
        <f t="shared" si="90"/>
        <v>21229.33</v>
      </c>
      <c r="AQ104" s="5">
        <f t="shared" si="91"/>
        <v>18400</v>
      </c>
      <c r="AR104" s="5">
        <f t="shared" si="92"/>
        <v>2829.3300000000017</v>
      </c>
      <c r="AS104" s="6">
        <f t="shared" si="93"/>
        <v>1.1537679347826089</v>
      </c>
    </row>
    <row r="105" spans="1:45" x14ac:dyDescent="0.2">
      <c r="A105" s="3" t="s">
        <v>113</v>
      </c>
      <c r="B105" s="7">
        <f>((((B86)+(B90))+(B102))+(B103))+(B104)</f>
        <v>94272.33</v>
      </c>
      <c r="C105" s="7">
        <f>((((C86)+(C90))+(C102))+(C103))+(C104)</f>
        <v>94118.5</v>
      </c>
      <c r="D105" s="7">
        <f t="shared" si="64"/>
        <v>153.83000000000175</v>
      </c>
      <c r="E105" s="8">
        <f t="shared" si="65"/>
        <v>1.0016344289379877</v>
      </c>
      <c r="F105" s="7">
        <f>((((F86)+(F90))+(F102))+(F103))+(F104)</f>
        <v>0</v>
      </c>
      <c r="G105" s="7">
        <f>((((G86)+(G90))+(G102))+(G103))+(G104)</f>
        <v>0</v>
      </c>
      <c r="H105" s="7">
        <f t="shared" si="66"/>
        <v>0</v>
      </c>
      <c r="I105" s="8" t="str">
        <f t="shared" si="67"/>
        <v/>
      </c>
      <c r="J105" s="7">
        <f t="shared" si="68"/>
        <v>94272.33</v>
      </c>
      <c r="K105" s="7">
        <f t="shared" si="69"/>
        <v>94118.5</v>
      </c>
      <c r="L105" s="7">
        <f t="shared" si="70"/>
        <v>153.83000000000175</v>
      </c>
      <c r="M105" s="8">
        <f t="shared" si="71"/>
        <v>1.0016344289379877</v>
      </c>
      <c r="N105" s="7">
        <f>((((N86)+(N90))+(N102))+(N103))+(N104)</f>
        <v>49567.71</v>
      </c>
      <c r="O105" s="7">
        <f>((((O86)+(O90))+(O102))+(O103))+(O104)</f>
        <v>70565</v>
      </c>
      <c r="P105" s="7">
        <f t="shared" si="72"/>
        <v>-20997.29</v>
      </c>
      <c r="Q105" s="8">
        <f t="shared" si="73"/>
        <v>0.70244044497980584</v>
      </c>
      <c r="R105" s="7">
        <f>((((R86)+(R90))+(R102))+(R103))+(R104)</f>
        <v>0</v>
      </c>
      <c r="S105" s="7">
        <f>((((S86)+(S90))+(S102))+(S103))+(S104)</f>
        <v>0</v>
      </c>
      <c r="T105" s="7">
        <f t="shared" si="74"/>
        <v>0</v>
      </c>
      <c r="U105" s="8" t="str">
        <f t="shared" si="75"/>
        <v/>
      </c>
      <c r="V105" s="7">
        <f t="shared" si="76"/>
        <v>49567.71</v>
      </c>
      <c r="W105" s="7">
        <f t="shared" si="77"/>
        <v>70565</v>
      </c>
      <c r="X105" s="7">
        <f t="shared" si="78"/>
        <v>-20997.29</v>
      </c>
      <c r="Y105" s="8">
        <f t="shared" si="79"/>
        <v>0.70244044497980584</v>
      </c>
      <c r="Z105" s="7">
        <f>((((Z86)+(Z90))+(Z102))+(Z103))+(Z104)</f>
        <v>31208.370000000003</v>
      </c>
      <c r="AA105" s="7">
        <f>((((AA86)+(AA90))+(AA102))+(AA103))+(AA104)</f>
        <v>61565</v>
      </c>
      <c r="AB105" s="7">
        <f t="shared" si="80"/>
        <v>-30356.629999999997</v>
      </c>
      <c r="AC105" s="8">
        <f t="shared" si="81"/>
        <v>0.50691740436936572</v>
      </c>
      <c r="AD105" s="7">
        <f>((((AD86)+(AD90))+(AD102))+(AD103))+(AD104)</f>
        <v>0</v>
      </c>
      <c r="AE105" s="7">
        <f>((((AE86)+(AE90))+(AE102))+(AE103))+(AE104)</f>
        <v>0</v>
      </c>
      <c r="AF105" s="7">
        <f t="shared" si="82"/>
        <v>0</v>
      </c>
      <c r="AG105" s="8" t="str">
        <f t="shared" si="83"/>
        <v/>
      </c>
      <c r="AH105" s="7">
        <f t="shared" si="84"/>
        <v>31208.370000000003</v>
      </c>
      <c r="AI105" s="7">
        <f t="shared" si="85"/>
        <v>61565</v>
      </c>
      <c r="AJ105" s="7">
        <f t="shared" si="86"/>
        <v>-30356.629999999997</v>
      </c>
      <c r="AK105" s="8">
        <f t="shared" si="87"/>
        <v>0.50691740436936572</v>
      </c>
      <c r="AL105" s="7">
        <f>((((AL86)+(AL90))+(AL102))+(AL103))+(AL104)</f>
        <v>0</v>
      </c>
      <c r="AM105" s="7">
        <f>((((AM86)+(AM90))+(AM102))+(AM103))+(AM104)</f>
        <v>0</v>
      </c>
      <c r="AN105" s="7">
        <f t="shared" si="88"/>
        <v>0</v>
      </c>
      <c r="AO105" s="8" t="str">
        <f t="shared" si="89"/>
        <v/>
      </c>
      <c r="AP105" s="7">
        <f t="shared" si="90"/>
        <v>175048.41</v>
      </c>
      <c r="AQ105" s="7">
        <f t="shared" si="91"/>
        <v>226248.5</v>
      </c>
      <c r="AR105" s="7">
        <f t="shared" si="92"/>
        <v>-51200.09</v>
      </c>
      <c r="AS105" s="8">
        <f t="shared" si="93"/>
        <v>0.77369975933542101</v>
      </c>
    </row>
    <row r="106" spans="1:45" x14ac:dyDescent="0.2">
      <c r="A106" s="3" t="s">
        <v>114</v>
      </c>
      <c r="B106" s="5">
        <f>1635.74</f>
        <v>1635.74</v>
      </c>
      <c r="C106" s="5">
        <f>3250</f>
        <v>3250</v>
      </c>
      <c r="D106" s="5">
        <f t="shared" si="64"/>
        <v>-1614.26</v>
      </c>
      <c r="E106" s="6">
        <f t="shared" si="65"/>
        <v>0.50330461538461535</v>
      </c>
      <c r="F106" s="4"/>
      <c r="G106" s="4"/>
      <c r="H106" s="5">
        <f t="shared" si="66"/>
        <v>0</v>
      </c>
      <c r="I106" s="6" t="str">
        <f t="shared" si="67"/>
        <v/>
      </c>
      <c r="J106" s="5">
        <f t="shared" si="68"/>
        <v>1635.74</v>
      </c>
      <c r="K106" s="5">
        <f t="shared" si="69"/>
        <v>3250</v>
      </c>
      <c r="L106" s="5">
        <f t="shared" si="70"/>
        <v>-1614.26</v>
      </c>
      <c r="M106" s="6">
        <f t="shared" si="71"/>
        <v>0.50330461538461535</v>
      </c>
      <c r="N106" s="5">
        <f>139.09</f>
        <v>139.09</v>
      </c>
      <c r="O106" s="4"/>
      <c r="P106" s="5">
        <f t="shared" si="72"/>
        <v>139.09</v>
      </c>
      <c r="Q106" s="6" t="str">
        <f t="shared" si="73"/>
        <v/>
      </c>
      <c r="R106" s="4"/>
      <c r="S106" s="4"/>
      <c r="T106" s="5">
        <f t="shared" si="74"/>
        <v>0</v>
      </c>
      <c r="U106" s="6" t="str">
        <f t="shared" si="75"/>
        <v/>
      </c>
      <c r="V106" s="5">
        <f t="shared" si="76"/>
        <v>139.09</v>
      </c>
      <c r="W106" s="5">
        <f t="shared" si="77"/>
        <v>0</v>
      </c>
      <c r="X106" s="5">
        <f t="shared" si="78"/>
        <v>139.09</v>
      </c>
      <c r="Y106" s="6" t="str">
        <f t="shared" si="79"/>
        <v/>
      </c>
      <c r="Z106" s="5">
        <f>52.18</f>
        <v>52.18</v>
      </c>
      <c r="AA106" s="4"/>
      <c r="AB106" s="5">
        <f t="shared" si="80"/>
        <v>52.18</v>
      </c>
      <c r="AC106" s="6" t="str">
        <f t="shared" si="81"/>
        <v/>
      </c>
      <c r="AD106" s="4"/>
      <c r="AE106" s="4"/>
      <c r="AF106" s="5">
        <f t="shared" si="82"/>
        <v>0</v>
      </c>
      <c r="AG106" s="6" t="str">
        <f t="shared" si="83"/>
        <v/>
      </c>
      <c r="AH106" s="5">
        <f t="shared" si="84"/>
        <v>52.18</v>
      </c>
      <c r="AI106" s="5">
        <f t="shared" si="85"/>
        <v>0</v>
      </c>
      <c r="AJ106" s="5">
        <f t="shared" si="86"/>
        <v>52.18</v>
      </c>
      <c r="AK106" s="6" t="str">
        <f t="shared" si="87"/>
        <v/>
      </c>
      <c r="AL106" s="5">
        <f>0</f>
        <v>0</v>
      </c>
      <c r="AM106" s="4"/>
      <c r="AN106" s="5">
        <f t="shared" si="88"/>
        <v>0</v>
      </c>
      <c r="AO106" s="6" t="str">
        <f t="shared" si="89"/>
        <v/>
      </c>
      <c r="AP106" s="5">
        <f t="shared" si="90"/>
        <v>1827.01</v>
      </c>
      <c r="AQ106" s="5">
        <f t="shared" si="91"/>
        <v>3250</v>
      </c>
      <c r="AR106" s="5">
        <f t="shared" si="92"/>
        <v>-1422.99</v>
      </c>
      <c r="AS106" s="6">
        <f t="shared" si="93"/>
        <v>0.56215692307692311</v>
      </c>
    </row>
    <row r="107" spans="1:45" x14ac:dyDescent="0.2">
      <c r="A107" s="3" t="s">
        <v>115</v>
      </c>
      <c r="B107" s="4"/>
      <c r="C107" s="4"/>
      <c r="D107" s="5">
        <f t="shared" si="64"/>
        <v>0</v>
      </c>
      <c r="E107" s="6" t="str">
        <f t="shared" si="65"/>
        <v/>
      </c>
      <c r="F107" s="4"/>
      <c r="G107" s="4"/>
      <c r="H107" s="5">
        <f t="shared" si="66"/>
        <v>0</v>
      </c>
      <c r="I107" s="6" t="str">
        <f t="shared" si="67"/>
        <v/>
      </c>
      <c r="J107" s="5">
        <f t="shared" si="68"/>
        <v>0</v>
      </c>
      <c r="K107" s="5">
        <f t="shared" si="69"/>
        <v>0</v>
      </c>
      <c r="L107" s="5">
        <f t="shared" si="70"/>
        <v>0</v>
      </c>
      <c r="M107" s="6" t="str">
        <f t="shared" si="71"/>
        <v/>
      </c>
      <c r="N107" s="4"/>
      <c r="O107" s="4"/>
      <c r="P107" s="5">
        <f t="shared" si="72"/>
        <v>0</v>
      </c>
      <c r="Q107" s="6" t="str">
        <f t="shared" si="73"/>
        <v/>
      </c>
      <c r="R107" s="4"/>
      <c r="S107" s="4"/>
      <c r="T107" s="5">
        <f t="shared" si="74"/>
        <v>0</v>
      </c>
      <c r="U107" s="6" t="str">
        <f t="shared" si="75"/>
        <v/>
      </c>
      <c r="V107" s="5">
        <f t="shared" si="76"/>
        <v>0</v>
      </c>
      <c r="W107" s="5">
        <f t="shared" si="77"/>
        <v>0</v>
      </c>
      <c r="X107" s="5">
        <f t="shared" si="78"/>
        <v>0</v>
      </c>
      <c r="Y107" s="6" t="str">
        <f t="shared" si="79"/>
        <v/>
      </c>
      <c r="Z107" s="4"/>
      <c r="AA107" s="4"/>
      <c r="AB107" s="5">
        <f t="shared" si="80"/>
        <v>0</v>
      </c>
      <c r="AC107" s="6" t="str">
        <f t="shared" si="81"/>
        <v/>
      </c>
      <c r="AD107" s="4"/>
      <c r="AE107" s="4"/>
      <c r="AF107" s="5">
        <f t="shared" si="82"/>
        <v>0</v>
      </c>
      <c r="AG107" s="6" t="str">
        <f t="shared" si="83"/>
        <v/>
      </c>
      <c r="AH107" s="5">
        <f t="shared" si="84"/>
        <v>0</v>
      </c>
      <c r="AI107" s="5">
        <f t="shared" si="85"/>
        <v>0</v>
      </c>
      <c r="AJ107" s="5">
        <f t="shared" si="86"/>
        <v>0</v>
      </c>
      <c r="AK107" s="6" t="str">
        <f t="shared" si="87"/>
        <v/>
      </c>
      <c r="AL107" s="4"/>
      <c r="AM107" s="4"/>
      <c r="AN107" s="5">
        <f t="shared" si="88"/>
        <v>0</v>
      </c>
      <c r="AO107" s="6" t="str">
        <f t="shared" si="89"/>
        <v/>
      </c>
      <c r="AP107" s="5">
        <f t="shared" si="90"/>
        <v>0</v>
      </c>
      <c r="AQ107" s="5">
        <f t="shared" si="91"/>
        <v>0</v>
      </c>
      <c r="AR107" s="5">
        <f t="shared" si="92"/>
        <v>0</v>
      </c>
      <c r="AS107" s="6" t="str">
        <f t="shared" si="93"/>
        <v/>
      </c>
    </row>
    <row r="108" spans="1:45" x14ac:dyDescent="0.2">
      <c r="A108" s="3" t="s">
        <v>116</v>
      </c>
      <c r="B108" s="5">
        <f>4545</f>
        <v>4545</v>
      </c>
      <c r="C108" s="5">
        <f>5095</f>
        <v>5095</v>
      </c>
      <c r="D108" s="5">
        <f t="shared" si="64"/>
        <v>-550</v>
      </c>
      <c r="E108" s="6">
        <f t="shared" si="65"/>
        <v>0.89205103042198231</v>
      </c>
      <c r="F108" s="4"/>
      <c r="G108" s="4"/>
      <c r="H108" s="5">
        <f t="shared" si="66"/>
        <v>0</v>
      </c>
      <c r="I108" s="6" t="str">
        <f t="shared" si="67"/>
        <v/>
      </c>
      <c r="J108" s="5">
        <f t="shared" si="68"/>
        <v>4545</v>
      </c>
      <c r="K108" s="5">
        <f t="shared" si="69"/>
        <v>5095</v>
      </c>
      <c r="L108" s="5">
        <f t="shared" si="70"/>
        <v>-550</v>
      </c>
      <c r="M108" s="6">
        <f t="shared" si="71"/>
        <v>0.89205103042198231</v>
      </c>
      <c r="N108" s="4"/>
      <c r="O108" s="5">
        <f>2500</f>
        <v>2500</v>
      </c>
      <c r="P108" s="5">
        <f t="shared" si="72"/>
        <v>-2500</v>
      </c>
      <c r="Q108" s="6">
        <f t="shared" si="73"/>
        <v>0</v>
      </c>
      <c r="R108" s="4"/>
      <c r="S108" s="4"/>
      <c r="T108" s="5">
        <f t="shared" si="74"/>
        <v>0</v>
      </c>
      <c r="U108" s="6" t="str">
        <f t="shared" si="75"/>
        <v/>
      </c>
      <c r="V108" s="5">
        <f t="shared" si="76"/>
        <v>0</v>
      </c>
      <c r="W108" s="5">
        <f t="shared" si="77"/>
        <v>2500</v>
      </c>
      <c r="X108" s="5">
        <f t="shared" si="78"/>
        <v>-2500</v>
      </c>
      <c r="Y108" s="6">
        <f t="shared" si="79"/>
        <v>0</v>
      </c>
      <c r="Z108" s="4"/>
      <c r="AA108" s="5">
        <f>1625</f>
        <v>1625</v>
      </c>
      <c r="AB108" s="5">
        <f t="shared" si="80"/>
        <v>-1625</v>
      </c>
      <c r="AC108" s="6">
        <f t="shared" si="81"/>
        <v>0</v>
      </c>
      <c r="AD108" s="4"/>
      <c r="AE108" s="4"/>
      <c r="AF108" s="5">
        <f t="shared" si="82"/>
        <v>0</v>
      </c>
      <c r="AG108" s="6" t="str">
        <f t="shared" si="83"/>
        <v/>
      </c>
      <c r="AH108" s="5">
        <f t="shared" si="84"/>
        <v>0</v>
      </c>
      <c r="AI108" s="5">
        <f t="shared" si="85"/>
        <v>1625</v>
      </c>
      <c r="AJ108" s="5">
        <f t="shared" si="86"/>
        <v>-1625</v>
      </c>
      <c r="AK108" s="6">
        <f t="shared" si="87"/>
        <v>0</v>
      </c>
      <c r="AL108" s="4"/>
      <c r="AM108" s="4"/>
      <c r="AN108" s="5">
        <f t="shared" si="88"/>
        <v>0</v>
      </c>
      <c r="AO108" s="6" t="str">
        <f t="shared" si="89"/>
        <v/>
      </c>
      <c r="AP108" s="5">
        <f t="shared" si="90"/>
        <v>4545</v>
      </c>
      <c r="AQ108" s="5">
        <f t="shared" si="91"/>
        <v>9220</v>
      </c>
      <c r="AR108" s="5">
        <f t="shared" si="92"/>
        <v>-4675</v>
      </c>
      <c r="AS108" s="6">
        <f t="shared" si="93"/>
        <v>0.49295010845986986</v>
      </c>
    </row>
    <row r="109" spans="1:45" x14ac:dyDescent="0.2">
      <c r="A109" s="3" t="s">
        <v>117</v>
      </c>
      <c r="B109" s="5">
        <f>1037.62</f>
        <v>1037.6199999999999</v>
      </c>
      <c r="C109" s="5">
        <f>3400</f>
        <v>3400</v>
      </c>
      <c r="D109" s="5">
        <f t="shared" si="64"/>
        <v>-2362.38</v>
      </c>
      <c r="E109" s="6">
        <f t="shared" si="65"/>
        <v>0.30518235294117646</v>
      </c>
      <c r="F109" s="4"/>
      <c r="G109" s="4"/>
      <c r="H109" s="5">
        <f t="shared" si="66"/>
        <v>0</v>
      </c>
      <c r="I109" s="6" t="str">
        <f t="shared" si="67"/>
        <v/>
      </c>
      <c r="J109" s="5">
        <f t="shared" si="68"/>
        <v>1037.6199999999999</v>
      </c>
      <c r="K109" s="5">
        <f t="shared" si="69"/>
        <v>3400</v>
      </c>
      <c r="L109" s="5">
        <f t="shared" si="70"/>
        <v>-2362.38</v>
      </c>
      <c r="M109" s="6">
        <f t="shared" si="71"/>
        <v>0.30518235294117646</v>
      </c>
      <c r="N109" s="5">
        <f>1007.08</f>
        <v>1007.08</v>
      </c>
      <c r="O109" s="5">
        <f>750</f>
        <v>750</v>
      </c>
      <c r="P109" s="5">
        <f t="shared" si="72"/>
        <v>257.08000000000004</v>
      </c>
      <c r="Q109" s="6">
        <f t="shared" si="73"/>
        <v>1.3427733333333334</v>
      </c>
      <c r="R109" s="4"/>
      <c r="S109" s="4"/>
      <c r="T109" s="5">
        <f t="shared" si="74"/>
        <v>0</v>
      </c>
      <c r="U109" s="6" t="str">
        <f t="shared" si="75"/>
        <v/>
      </c>
      <c r="V109" s="5">
        <f t="shared" si="76"/>
        <v>1007.08</v>
      </c>
      <c r="W109" s="5">
        <f t="shared" si="77"/>
        <v>750</v>
      </c>
      <c r="X109" s="5">
        <f t="shared" si="78"/>
        <v>257.08000000000004</v>
      </c>
      <c r="Y109" s="6">
        <f t="shared" si="79"/>
        <v>1.3427733333333334</v>
      </c>
      <c r="Z109" s="5">
        <f>1588.35</f>
        <v>1588.35</v>
      </c>
      <c r="AA109" s="5">
        <f>750</f>
        <v>750</v>
      </c>
      <c r="AB109" s="5">
        <f t="shared" si="80"/>
        <v>838.34999999999991</v>
      </c>
      <c r="AC109" s="6">
        <f t="shared" si="81"/>
        <v>2.1177999999999999</v>
      </c>
      <c r="AD109" s="4"/>
      <c r="AE109" s="4"/>
      <c r="AF109" s="5">
        <f t="shared" si="82"/>
        <v>0</v>
      </c>
      <c r="AG109" s="6" t="str">
        <f t="shared" si="83"/>
        <v/>
      </c>
      <c r="AH109" s="5">
        <f t="shared" si="84"/>
        <v>1588.35</v>
      </c>
      <c r="AI109" s="5">
        <f t="shared" si="85"/>
        <v>750</v>
      </c>
      <c r="AJ109" s="5">
        <f t="shared" si="86"/>
        <v>838.34999999999991</v>
      </c>
      <c r="AK109" s="6">
        <f t="shared" si="87"/>
        <v>2.1177999999999999</v>
      </c>
      <c r="AL109" s="5">
        <f>-728</f>
        <v>-728</v>
      </c>
      <c r="AM109" s="4"/>
      <c r="AN109" s="5">
        <f t="shared" si="88"/>
        <v>-728</v>
      </c>
      <c r="AO109" s="6" t="str">
        <f t="shared" si="89"/>
        <v/>
      </c>
      <c r="AP109" s="5">
        <f t="shared" si="90"/>
        <v>2905.0499999999997</v>
      </c>
      <c r="AQ109" s="5">
        <f t="shared" si="91"/>
        <v>4900</v>
      </c>
      <c r="AR109" s="5">
        <f t="shared" si="92"/>
        <v>-1994.9500000000003</v>
      </c>
      <c r="AS109" s="6">
        <f t="shared" si="93"/>
        <v>0.59286734693877541</v>
      </c>
    </row>
    <row r="110" spans="1:45" x14ac:dyDescent="0.2">
      <c r="A110" s="3" t="s">
        <v>118</v>
      </c>
      <c r="B110" s="7">
        <f>((B107)+(B108))+(B109)</f>
        <v>5582.62</v>
      </c>
      <c r="C110" s="7">
        <f>((C107)+(C108))+(C109)</f>
        <v>8495</v>
      </c>
      <c r="D110" s="7">
        <f t="shared" si="64"/>
        <v>-2912.38</v>
      </c>
      <c r="E110" s="8">
        <f t="shared" si="65"/>
        <v>0.65716539140670982</v>
      </c>
      <c r="F110" s="7">
        <f>((F107)+(F108))+(F109)</f>
        <v>0</v>
      </c>
      <c r="G110" s="7">
        <f>((G107)+(G108))+(G109)</f>
        <v>0</v>
      </c>
      <c r="H110" s="7">
        <f t="shared" si="66"/>
        <v>0</v>
      </c>
      <c r="I110" s="8" t="str">
        <f t="shared" si="67"/>
        <v/>
      </c>
      <c r="J110" s="7">
        <f t="shared" si="68"/>
        <v>5582.62</v>
      </c>
      <c r="K110" s="7">
        <f t="shared" si="69"/>
        <v>8495</v>
      </c>
      <c r="L110" s="7">
        <f t="shared" si="70"/>
        <v>-2912.38</v>
      </c>
      <c r="M110" s="8">
        <f t="shared" si="71"/>
        <v>0.65716539140670982</v>
      </c>
      <c r="N110" s="7">
        <f>((N107)+(N108))+(N109)</f>
        <v>1007.08</v>
      </c>
      <c r="O110" s="7">
        <f>((O107)+(O108))+(O109)</f>
        <v>3250</v>
      </c>
      <c r="P110" s="7">
        <f t="shared" si="72"/>
        <v>-2242.92</v>
      </c>
      <c r="Q110" s="8">
        <f t="shared" si="73"/>
        <v>0.30987076923076923</v>
      </c>
      <c r="R110" s="7">
        <f>((R107)+(R108))+(R109)</f>
        <v>0</v>
      </c>
      <c r="S110" s="7">
        <f>((S107)+(S108))+(S109)</f>
        <v>0</v>
      </c>
      <c r="T110" s="7">
        <f t="shared" si="74"/>
        <v>0</v>
      </c>
      <c r="U110" s="8" t="str">
        <f t="shared" si="75"/>
        <v/>
      </c>
      <c r="V110" s="7">
        <f t="shared" si="76"/>
        <v>1007.08</v>
      </c>
      <c r="W110" s="7">
        <f t="shared" si="77"/>
        <v>3250</v>
      </c>
      <c r="X110" s="7">
        <f t="shared" si="78"/>
        <v>-2242.92</v>
      </c>
      <c r="Y110" s="8">
        <f t="shared" si="79"/>
        <v>0.30987076923076923</v>
      </c>
      <c r="Z110" s="7">
        <f>((Z107)+(Z108))+(Z109)</f>
        <v>1588.35</v>
      </c>
      <c r="AA110" s="7">
        <f>((AA107)+(AA108))+(AA109)</f>
        <v>2375</v>
      </c>
      <c r="AB110" s="7">
        <f t="shared" si="80"/>
        <v>-786.65000000000009</v>
      </c>
      <c r="AC110" s="8">
        <f t="shared" si="81"/>
        <v>0.66877894736842103</v>
      </c>
      <c r="AD110" s="7">
        <f>((AD107)+(AD108))+(AD109)</f>
        <v>0</v>
      </c>
      <c r="AE110" s="7">
        <f>((AE107)+(AE108))+(AE109)</f>
        <v>0</v>
      </c>
      <c r="AF110" s="7">
        <f t="shared" si="82"/>
        <v>0</v>
      </c>
      <c r="AG110" s="8" t="str">
        <f t="shared" si="83"/>
        <v/>
      </c>
      <c r="AH110" s="7">
        <f t="shared" si="84"/>
        <v>1588.35</v>
      </c>
      <c r="AI110" s="7">
        <f t="shared" si="85"/>
        <v>2375</v>
      </c>
      <c r="AJ110" s="7">
        <f t="shared" si="86"/>
        <v>-786.65000000000009</v>
      </c>
      <c r="AK110" s="8">
        <f t="shared" si="87"/>
        <v>0.66877894736842103</v>
      </c>
      <c r="AL110" s="7">
        <f>((AL107)+(AL108))+(AL109)</f>
        <v>-728</v>
      </c>
      <c r="AM110" s="7">
        <f>((AM107)+(AM108))+(AM109)</f>
        <v>0</v>
      </c>
      <c r="AN110" s="7">
        <f t="shared" si="88"/>
        <v>-728</v>
      </c>
      <c r="AO110" s="8" t="str">
        <f t="shared" si="89"/>
        <v/>
      </c>
      <c r="AP110" s="7">
        <f t="shared" si="90"/>
        <v>7450.0499999999993</v>
      </c>
      <c r="AQ110" s="7">
        <f t="shared" si="91"/>
        <v>14120</v>
      </c>
      <c r="AR110" s="7">
        <f t="shared" si="92"/>
        <v>-6669.9500000000007</v>
      </c>
      <c r="AS110" s="8">
        <f t="shared" si="93"/>
        <v>0.52762393767705373</v>
      </c>
    </row>
    <row r="111" spans="1:45" x14ac:dyDescent="0.2">
      <c r="A111" s="3" t="s">
        <v>119</v>
      </c>
      <c r="B111" s="4"/>
      <c r="C111" s="4"/>
      <c r="D111" s="5">
        <f t="shared" si="64"/>
        <v>0</v>
      </c>
      <c r="E111" s="6" t="str">
        <f t="shared" si="65"/>
        <v/>
      </c>
      <c r="F111" s="4"/>
      <c r="G111" s="4"/>
      <c r="H111" s="5">
        <f t="shared" si="66"/>
        <v>0</v>
      </c>
      <c r="I111" s="6" t="str">
        <f t="shared" si="67"/>
        <v/>
      </c>
      <c r="J111" s="5">
        <f t="shared" si="68"/>
        <v>0</v>
      </c>
      <c r="K111" s="5">
        <f t="shared" si="69"/>
        <v>0</v>
      </c>
      <c r="L111" s="5">
        <f t="shared" si="70"/>
        <v>0</v>
      </c>
      <c r="M111" s="6" t="str">
        <f t="shared" si="71"/>
        <v/>
      </c>
      <c r="N111" s="4"/>
      <c r="O111" s="4"/>
      <c r="P111" s="5">
        <f t="shared" si="72"/>
        <v>0</v>
      </c>
      <c r="Q111" s="6" t="str">
        <f t="shared" si="73"/>
        <v/>
      </c>
      <c r="R111" s="4"/>
      <c r="S111" s="4"/>
      <c r="T111" s="5">
        <f t="shared" si="74"/>
        <v>0</v>
      </c>
      <c r="U111" s="6" t="str">
        <f t="shared" si="75"/>
        <v/>
      </c>
      <c r="V111" s="5">
        <f t="shared" si="76"/>
        <v>0</v>
      </c>
      <c r="W111" s="5">
        <f t="shared" si="77"/>
        <v>0</v>
      </c>
      <c r="X111" s="5">
        <f t="shared" si="78"/>
        <v>0</v>
      </c>
      <c r="Y111" s="6" t="str">
        <f t="shared" si="79"/>
        <v/>
      </c>
      <c r="Z111" s="4"/>
      <c r="AA111" s="4"/>
      <c r="AB111" s="5">
        <f t="shared" si="80"/>
        <v>0</v>
      </c>
      <c r="AC111" s="6" t="str">
        <f t="shared" si="81"/>
        <v/>
      </c>
      <c r="AD111" s="4"/>
      <c r="AE111" s="4"/>
      <c r="AF111" s="5">
        <f t="shared" si="82"/>
        <v>0</v>
      </c>
      <c r="AG111" s="6" t="str">
        <f t="shared" si="83"/>
        <v/>
      </c>
      <c r="AH111" s="5">
        <f t="shared" si="84"/>
        <v>0</v>
      </c>
      <c r="AI111" s="5">
        <f t="shared" si="85"/>
        <v>0</v>
      </c>
      <c r="AJ111" s="5">
        <f t="shared" si="86"/>
        <v>0</v>
      </c>
      <c r="AK111" s="6" t="str">
        <f t="shared" si="87"/>
        <v/>
      </c>
      <c r="AL111" s="4"/>
      <c r="AM111" s="4"/>
      <c r="AN111" s="5">
        <f t="shared" si="88"/>
        <v>0</v>
      </c>
      <c r="AO111" s="6" t="str">
        <f t="shared" si="89"/>
        <v/>
      </c>
      <c r="AP111" s="5">
        <f t="shared" si="90"/>
        <v>0</v>
      </c>
      <c r="AQ111" s="5">
        <f t="shared" si="91"/>
        <v>0</v>
      </c>
      <c r="AR111" s="5">
        <f t="shared" si="92"/>
        <v>0</v>
      </c>
      <c r="AS111" s="6" t="str">
        <f t="shared" si="93"/>
        <v/>
      </c>
    </row>
    <row r="112" spans="1:45" x14ac:dyDescent="0.2">
      <c r="A112" s="3" t="s">
        <v>120</v>
      </c>
      <c r="B112" s="5">
        <f>4912.24</f>
        <v>4912.24</v>
      </c>
      <c r="C112" s="5">
        <f>3500</f>
        <v>3500</v>
      </c>
      <c r="D112" s="5">
        <f t="shared" si="64"/>
        <v>1412.2399999999998</v>
      </c>
      <c r="E112" s="6">
        <f t="shared" si="65"/>
        <v>1.4034971428571428</v>
      </c>
      <c r="F112" s="4"/>
      <c r="G112" s="4"/>
      <c r="H112" s="5">
        <f t="shared" si="66"/>
        <v>0</v>
      </c>
      <c r="I112" s="6" t="str">
        <f t="shared" si="67"/>
        <v/>
      </c>
      <c r="J112" s="5">
        <f t="shared" si="68"/>
        <v>4912.24</v>
      </c>
      <c r="K112" s="5">
        <f t="shared" si="69"/>
        <v>3500</v>
      </c>
      <c r="L112" s="5">
        <f t="shared" si="70"/>
        <v>1412.2399999999998</v>
      </c>
      <c r="M112" s="6">
        <f t="shared" si="71"/>
        <v>1.4034971428571428</v>
      </c>
      <c r="N112" s="5">
        <f>7063.08</f>
        <v>7063.08</v>
      </c>
      <c r="O112" s="5">
        <f>4200</f>
        <v>4200</v>
      </c>
      <c r="P112" s="5">
        <f t="shared" si="72"/>
        <v>2863.08</v>
      </c>
      <c r="Q112" s="6">
        <f t="shared" si="73"/>
        <v>1.6816857142857142</v>
      </c>
      <c r="R112" s="4"/>
      <c r="S112" s="4"/>
      <c r="T112" s="5">
        <f t="shared" si="74"/>
        <v>0</v>
      </c>
      <c r="U112" s="6" t="str">
        <f t="shared" si="75"/>
        <v/>
      </c>
      <c r="V112" s="5">
        <f t="shared" si="76"/>
        <v>7063.08</v>
      </c>
      <c r="W112" s="5">
        <f t="shared" si="77"/>
        <v>4200</v>
      </c>
      <c r="X112" s="5">
        <f t="shared" si="78"/>
        <v>2863.08</v>
      </c>
      <c r="Y112" s="6">
        <f t="shared" si="79"/>
        <v>1.6816857142857142</v>
      </c>
      <c r="Z112" s="5">
        <f>7785.68</f>
        <v>7785.68</v>
      </c>
      <c r="AA112" s="5">
        <f>4600</f>
        <v>4600</v>
      </c>
      <c r="AB112" s="5">
        <f t="shared" si="80"/>
        <v>3185.6800000000003</v>
      </c>
      <c r="AC112" s="6">
        <f t="shared" si="81"/>
        <v>1.6925391304347828</v>
      </c>
      <c r="AD112" s="4"/>
      <c r="AE112" s="4"/>
      <c r="AF112" s="5">
        <f t="shared" si="82"/>
        <v>0</v>
      </c>
      <c r="AG112" s="6" t="str">
        <f t="shared" si="83"/>
        <v/>
      </c>
      <c r="AH112" s="5">
        <f t="shared" si="84"/>
        <v>7785.68</v>
      </c>
      <c r="AI112" s="5">
        <f t="shared" si="85"/>
        <v>4600</v>
      </c>
      <c r="AJ112" s="5">
        <f t="shared" si="86"/>
        <v>3185.6800000000003</v>
      </c>
      <c r="AK112" s="6">
        <f t="shared" si="87"/>
        <v>1.6925391304347828</v>
      </c>
      <c r="AL112" s="5">
        <f>0</f>
        <v>0</v>
      </c>
      <c r="AM112" s="4"/>
      <c r="AN112" s="5">
        <f t="shared" si="88"/>
        <v>0</v>
      </c>
      <c r="AO112" s="6" t="str">
        <f t="shared" si="89"/>
        <v/>
      </c>
      <c r="AP112" s="5">
        <f t="shared" si="90"/>
        <v>19761</v>
      </c>
      <c r="AQ112" s="5">
        <f t="shared" si="91"/>
        <v>12300</v>
      </c>
      <c r="AR112" s="5">
        <f t="shared" si="92"/>
        <v>7461</v>
      </c>
      <c r="AS112" s="6">
        <f t="shared" si="93"/>
        <v>1.6065853658536586</v>
      </c>
    </row>
    <row r="113" spans="1:45" x14ac:dyDescent="0.2">
      <c r="A113" s="3" t="s">
        <v>121</v>
      </c>
      <c r="B113" s="4"/>
      <c r="C113" s="5">
        <f>2500</f>
        <v>2500</v>
      </c>
      <c r="D113" s="5">
        <f t="shared" si="64"/>
        <v>-2500</v>
      </c>
      <c r="E113" s="6">
        <f t="shared" si="65"/>
        <v>0</v>
      </c>
      <c r="F113" s="4"/>
      <c r="G113" s="4"/>
      <c r="H113" s="5">
        <f t="shared" si="66"/>
        <v>0</v>
      </c>
      <c r="I113" s="6" t="str">
        <f t="shared" si="67"/>
        <v/>
      </c>
      <c r="J113" s="5">
        <f t="shared" si="68"/>
        <v>0</v>
      </c>
      <c r="K113" s="5">
        <f t="shared" si="69"/>
        <v>2500</v>
      </c>
      <c r="L113" s="5">
        <f t="shared" si="70"/>
        <v>-2500</v>
      </c>
      <c r="M113" s="6">
        <f t="shared" si="71"/>
        <v>0</v>
      </c>
      <c r="N113" s="4"/>
      <c r="O113" s="4"/>
      <c r="P113" s="5">
        <f t="shared" si="72"/>
        <v>0</v>
      </c>
      <c r="Q113" s="6" t="str">
        <f t="shared" si="73"/>
        <v/>
      </c>
      <c r="R113" s="4"/>
      <c r="S113" s="4"/>
      <c r="T113" s="5">
        <f t="shared" si="74"/>
        <v>0</v>
      </c>
      <c r="U113" s="6" t="str">
        <f t="shared" si="75"/>
        <v/>
      </c>
      <c r="V113" s="5">
        <f t="shared" si="76"/>
        <v>0</v>
      </c>
      <c r="W113" s="5">
        <f t="shared" si="77"/>
        <v>0</v>
      </c>
      <c r="X113" s="5">
        <f t="shared" si="78"/>
        <v>0</v>
      </c>
      <c r="Y113" s="6" t="str">
        <f t="shared" si="79"/>
        <v/>
      </c>
      <c r="Z113" s="4"/>
      <c r="AA113" s="4"/>
      <c r="AB113" s="5">
        <f t="shared" si="80"/>
        <v>0</v>
      </c>
      <c r="AC113" s="6" t="str">
        <f t="shared" si="81"/>
        <v/>
      </c>
      <c r="AD113" s="4"/>
      <c r="AE113" s="4"/>
      <c r="AF113" s="5">
        <f t="shared" si="82"/>
        <v>0</v>
      </c>
      <c r="AG113" s="6" t="str">
        <f t="shared" si="83"/>
        <v/>
      </c>
      <c r="AH113" s="5">
        <f t="shared" si="84"/>
        <v>0</v>
      </c>
      <c r="AI113" s="5">
        <f t="shared" si="85"/>
        <v>0</v>
      </c>
      <c r="AJ113" s="5">
        <f t="shared" si="86"/>
        <v>0</v>
      </c>
      <c r="AK113" s="6" t="str">
        <f t="shared" si="87"/>
        <v/>
      </c>
      <c r="AL113" s="4"/>
      <c r="AM113" s="4"/>
      <c r="AN113" s="5">
        <f t="shared" si="88"/>
        <v>0</v>
      </c>
      <c r="AO113" s="6" t="str">
        <f t="shared" si="89"/>
        <v/>
      </c>
      <c r="AP113" s="5">
        <f t="shared" si="90"/>
        <v>0</v>
      </c>
      <c r="AQ113" s="5">
        <f t="shared" si="91"/>
        <v>2500</v>
      </c>
      <c r="AR113" s="5">
        <f t="shared" si="92"/>
        <v>-2500</v>
      </c>
      <c r="AS113" s="6">
        <f t="shared" si="93"/>
        <v>0</v>
      </c>
    </row>
    <row r="114" spans="1:45" x14ac:dyDescent="0.2">
      <c r="A114" s="3" t="s">
        <v>122</v>
      </c>
      <c r="B114" s="7">
        <f>((B111)+(B112))+(B113)</f>
        <v>4912.24</v>
      </c>
      <c r="C114" s="7">
        <f>((C111)+(C112))+(C113)</f>
        <v>6000</v>
      </c>
      <c r="D114" s="7">
        <f t="shared" si="64"/>
        <v>-1087.7600000000002</v>
      </c>
      <c r="E114" s="8">
        <f t="shared" si="65"/>
        <v>0.81870666666666658</v>
      </c>
      <c r="F114" s="7">
        <f>((F111)+(F112))+(F113)</f>
        <v>0</v>
      </c>
      <c r="G114" s="7">
        <f>((G111)+(G112))+(G113)</f>
        <v>0</v>
      </c>
      <c r="H114" s="7">
        <f t="shared" si="66"/>
        <v>0</v>
      </c>
      <c r="I114" s="8" t="str">
        <f t="shared" si="67"/>
        <v/>
      </c>
      <c r="J114" s="7">
        <f t="shared" si="68"/>
        <v>4912.24</v>
      </c>
      <c r="K114" s="7">
        <f t="shared" si="69"/>
        <v>6000</v>
      </c>
      <c r="L114" s="7">
        <f t="shared" si="70"/>
        <v>-1087.7600000000002</v>
      </c>
      <c r="M114" s="8">
        <f t="shared" si="71"/>
        <v>0.81870666666666658</v>
      </c>
      <c r="N114" s="7">
        <f>((N111)+(N112))+(N113)</f>
        <v>7063.08</v>
      </c>
      <c r="O114" s="7">
        <f>((O111)+(O112))+(O113)</f>
        <v>4200</v>
      </c>
      <c r="P114" s="7">
        <f t="shared" si="72"/>
        <v>2863.08</v>
      </c>
      <c r="Q114" s="8">
        <f t="shared" si="73"/>
        <v>1.6816857142857142</v>
      </c>
      <c r="R114" s="7">
        <f>((R111)+(R112))+(R113)</f>
        <v>0</v>
      </c>
      <c r="S114" s="7">
        <f>((S111)+(S112))+(S113)</f>
        <v>0</v>
      </c>
      <c r="T114" s="7">
        <f t="shared" si="74"/>
        <v>0</v>
      </c>
      <c r="U114" s="8" t="str">
        <f t="shared" si="75"/>
        <v/>
      </c>
      <c r="V114" s="7">
        <f t="shared" si="76"/>
        <v>7063.08</v>
      </c>
      <c r="W114" s="7">
        <f t="shared" si="77"/>
        <v>4200</v>
      </c>
      <c r="X114" s="7">
        <f t="shared" si="78"/>
        <v>2863.08</v>
      </c>
      <c r="Y114" s="8">
        <f t="shared" si="79"/>
        <v>1.6816857142857142</v>
      </c>
      <c r="Z114" s="7">
        <f>((Z111)+(Z112))+(Z113)</f>
        <v>7785.68</v>
      </c>
      <c r="AA114" s="7">
        <f>((AA111)+(AA112))+(AA113)</f>
        <v>4600</v>
      </c>
      <c r="AB114" s="7">
        <f t="shared" si="80"/>
        <v>3185.6800000000003</v>
      </c>
      <c r="AC114" s="8">
        <f t="shared" si="81"/>
        <v>1.6925391304347828</v>
      </c>
      <c r="AD114" s="7">
        <f>((AD111)+(AD112))+(AD113)</f>
        <v>0</v>
      </c>
      <c r="AE114" s="7">
        <f>((AE111)+(AE112))+(AE113)</f>
        <v>0</v>
      </c>
      <c r="AF114" s="7">
        <f t="shared" si="82"/>
        <v>0</v>
      </c>
      <c r="AG114" s="8" t="str">
        <f t="shared" si="83"/>
        <v/>
      </c>
      <c r="AH114" s="7">
        <f t="shared" si="84"/>
        <v>7785.68</v>
      </c>
      <c r="AI114" s="7">
        <f t="shared" si="85"/>
        <v>4600</v>
      </c>
      <c r="AJ114" s="7">
        <f t="shared" si="86"/>
        <v>3185.6800000000003</v>
      </c>
      <c r="AK114" s="8">
        <f t="shared" si="87"/>
        <v>1.6925391304347828</v>
      </c>
      <c r="AL114" s="7">
        <f>((AL111)+(AL112))+(AL113)</f>
        <v>0</v>
      </c>
      <c r="AM114" s="7">
        <f>((AM111)+(AM112))+(AM113)</f>
        <v>0</v>
      </c>
      <c r="AN114" s="7">
        <f t="shared" si="88"/>
        <v>0</v>
      </c>
      <c r="AO114" s="8" t="str">
        <f t="shared" si="89"/>
        <v/>
      </c>
      <c r="AP114" s="7">
        <f t="shared" si="90"/>
        <v>19761</v>
      </c>
      <c r="AQ114" s="7">
        <f t="shared" si="91"/>
        <v>14800</v>
      </c>
      <c r="AR114" s="7">
        <f t="shared" si="92"/>
        <v>4961</v>
      </c>
      <c r="AS114" s="8">
        <f t="shared" si="93"/>
        <v>1.3352027027027027</v>
      </c>
    </row>
    <row r="115" spans="1:45" x14ac:dyDescent="0.2">
      <c r="A115" s="3" t="s">
        <v>123</v>
      </c>
      <c r="B115" s="4"/>
      <c r="C115" s="4"/>
      <c r="D115" s="5">
        <f t="shared" si="64"/>
        <v>0</v>
      </c>
      <c r="E115" s="6" t="str">
        <f t="shared" si="65"/>
        <v/>
      </c>
      <c r="F115" s="4"/>
      <c r="G115" s="4"/>
      <c r="H115" s="5">
        <f t="shared" si="66"/>
        <v>0</v>
      </c>
      <c r="I115" s="6" t="str">
        <f t="shared" si="67"/>
        <v/>
      </c>
      <c r="J115" s="5">
        <f t="shared" si="68"/>
        <v>0</v>
      </c>
      <c r="K115" s="5">
        <f t="shared" si="69"/>
        <v>0</v>
      </c>
      <c r="L115" s="5">
        <f t="shared" si="70"/>
        <v>0</v>
      </c>
      <c r="M115" s="6" t="str">
        <f t="shared" si="71"/>
        <v/>
      </c>
      <c r="N115" s="5">
        <f>1166.9</f>
        <v>1166.9000000000001</v>
      </c>
      <c r="O115" s="5">
        <f>2185</f>
        <v>2185</v>
      </c>
      <c r="P115" s="5">
        <f t="shared" si="72"/>
        <v>-1018.0999999999999</v>
      </c>
      <c r="Q115" s="6">
        <f t="shared" si="73"/>
        <v>0.53405034324942791</v>
      </c>
      <c r="R115" s="4"/>
      <c r="S115" s="4"/>
      <c r="T115" s="5">
        <f t="shared" si="74"/>
        <v>0</v>
      </c>
      <c r="U115" s="6" t="str">
        <f t="shared" si="75"/>
        <v/>
      </c>
      <c r="V115" s="5">
        <f t="shared" si="76"/>
        <v>1166.9000000000001</v>
      </c>
      <c r="W115" s="5">
        <f t="shared" si="77"/>
        <v>2185</v>
      </c>
      <c r="X115" s="5">
        <f t="shared" si="78"/>
        <v>-1018.0999999999999</v>
      </c>
      <c r="Y115" s="6">
        <f t="shared" si="79"/>
        <v>0.53405034324942791</v>
      </c>
      <c r="Z115" s="5">
        <f>43.23</f>
        <v>43.23</v>
      </c>
      <c r="AA115" s="5">
        <f>1800</f>
        <v>1800</v>
      </c>
      <c r="AB115" s="5">
        <f t="shared" si="80"/>
        <v>-1756.77</v>
      </c>
      <c r="AC115" s="6">
        <f t="shared" si="81"/>
        <v>2.4016666666666665E-2</v>
      </c>
      <c r="AD115" s="4"/>
      <c r="AE115" s="4"/>
      <c r="AF115" s="5">
        <f t="shared" si="82"/>
        <v>0</v>
      </c>
      <c r="AG115" s="6" t="str">
        <f t="shared" si="83"/>
        <v/>
      </c>
      <c r="AH115" s="5">
        <f t="shared" si="84"/>
        <v>43.23</v>
      </c>
      <c r="AI115" s="5">
        <f t="shared" si="85"/>
        <v>1800</v>
      </c>
      <c r="AJ115" s="5">
        <f t="shared" si="86"/>
        <v>-1756.77</v>
      </c>
      <c r="AK115" s="6">
        <f t="shared" si="87"/>
        <v>2.4016666666666665E-2</v>
      </c>
      <c r="AL115" s="4"/>
      <c r="AM115" s="4"/>
      <c r="AN115" s="5">
        <f t="shared" si="88"/>
        <v>0</v>
      </c>
      <c r="AO115" s="6" t="str">
        <f t="shared" si="89"/>
        <v/>
      </c>
      <c r="AP115" s="5">
        <f t="shared" si="90"/>
        <v>1210.1300000000001</v>
      </c>
      <c r="AQ115" s="5">
        <f t="shared" si="91"/>
        <v>3985</v>
      </c>
      <c r="AR115" s="5">
        <f t="shared" si="92"/>
        <v>-2774.87</v>
      </c>
      <c r="AS115" s="6">
        <f t="shared" si="93"/>
        <v>0.30367126725219579</v>
      </c>
    </row>
    <row r="116" spans="1:45" x14ac:dyDescent="0.2">
      <c r="A116" s="3" t="s">
        <v>124</v>
      </c>
      <c r="B116" s="4"/>
      <c r="C116" s="4"/>
      <c r="D116" s="5">
        <f t="shared" si="64"/>
        <v>0</v>
      </c>
      <c r="E116" s="6" t="str">
        <f t="shared" si="65"/>
        <v/>
      </c>
      <c r="F116" s="4"/>
      <c r="G116" s="4"/>
      <c r="H116" s="5">
        <f t="shared" si="66"/>
        <v>0</v>
      </c>
      <c r="I116" s="6" t="str">
        <f t="shared" si="67"/>
        <v/>
      </c>
      <c r="J116" s="5">
        <f t="shared" si="68"/>
        <v>0</v>
      </c>
      <c r="K116" s="5">
        <f t="shared" si="69"/>
        <v>0</v>
      </c>
      <c r="L116" s="5">
        <f t="shared" si="70"/>
        <v>0</v>
      </c>
      <c r="M116" s="6" t="str">
        <f t="shared" si="71"/>
        <v/>
      </c>
      <c r="N116" s="4"/>
      <c r="O116" s="4"/>
      <c r="P116" s="5">
        <f t="shared" si="72"/>
        <v>0</v>
      </c>
      <c r="Q116" s="6" t="str">
        <f t="shared" si="73"/>
        <v/>
      </c>
      <c r="R116" s="4"/>
      <c r="S116" s="4"/>
      <c r="T116" s="5">
        <f t="shared" si="74"/>
        <v>0</v>
      </c>
      <c r="U116" s="6" t="str">
        <f t="shared" si="75"/>
        <v/>
      </c>
      <c r="V116" s="5">
        <f t="shared" si="76"/>
        <v>0</v>
      </c>
      <c r="W116" s="5">
        <f t="shared" si="77"/>
        <v>0</v>
      </c>
      <c r="X116" s="5">
        <f t="shared" si="78"/>
        <v>0</v>
      </c>
      <c r="Y116" s="6" t="str">
        <f t="shared" si="79"/>
        <v/>
      </c>
      <c r="Z116" s="4"/>
      <c r="AA116" s="4"/>
      <c r="AB116" s="5">
        <f t="shared" si="80"/>
        <v>0</v>
      </c>
      <c r="AC116" s="6" t="str">
        <f t="shared" si="81"/>
        <v/>
      </c>
      <c r="AD116" s="4"/>
      <c r="AE116" s="4"/>
      <c r="AF116" s="5">
        <f t="shared" si="82"/>
        <v>0</v>
      </c>
      <c r="AG116" s="6" t="str">
        <f t="shared" si="83"/>
        <v/>
      </c>
      <c r="AH116" s="5">
        <f t="shared" si="84"/>
        <v>0</v>
      </c>
      <c r="AI116" s="5">
        <f t="shared" si="85"/>
        <v>0</v>
      </c>
      <c r="AJ116" s="5">
        <f t="shared" si="86"/>
        <v>0</v>
      </c>
      <c r="AK116" s="6" t="str">
        <f t="shared" si="87"/>
        <v/>
      </c>
      <c r="AL116" s="4"/>
      <c r="AM116" s="4"/>
      <c r="AN116" s="5">
        <f t="shared" si="88"/>
        <v>0</v>
      </c>
      <c r="AO116" s="6" t="str">
        <f t="shared" si="89"/>
        <v/>
      </c>
      <c r="AP116" s="5">
        <f t="shared" si="90"/>
        <v>0</v>
      </c>
      <c r="AQ116" s="5">
        <f t="shared" si="91"/>
        <v>0</v>
      </c>
      <c r="AR116" s="5">
        <f t="shared" si="92"/>
        <v>0</v>
      </c>
      <c r="AS116" s="6" t="str">
        <f t="shared" si="93"/>
        <v/>
      </c>
    </row>
    <row r="117" spans="1:45" x14ac:dyDescent="0.2">
      <c r="A117" s="3" t="s">
        <v>125</v>
      </c>
      <c r="B117" s="5">
        <f>32.76</f>
        <v>32.76</v>
      </c>
      <c r="C117" s="4"/>
      <c r="D117" s="5">
        <f t="shared" si="64"/>
        <v>32.76</v>
      </c>
      <c r="E117" s="6" t="str">
        <f t="shared" si="65"/>
        <v/>
      </c>
      <c r="F117" s="4"/>
      <c r="G117" s="4"/>
      <c r="H117" s="5">
        <f t="shared" si="66"/>
        <v>0</v>
      </c>
      <c r="I117" s="6" t="str">
        <f t="shared" si="67"/>
        <v/>
      </c>
      <c r="J117" s="5">
        <f t="shared" si="68"/>
        <v>32.76</v>
      </c>
      <c r="K117" s="5">
        <f t="shared" si="69"/>
        <v>0</v>
      </c>
      <c r="L117" s="5">
        <f t="shared" si="70"/>
        <v>32.76</v>
      </c>
      <c r="M117" s="6" t="str">
        <f t="shared" si="71"/>
        <v/>
      </c>
      <c r="N117" s="4"/>
      <c r="O117" s="4"/>
      <c r="P117" s="5">
        <f t="shared" si="72"/>
        <v>0</v>
      </c>
      <c r="Q117" s="6" t="str">
        <f t="shared" si="73"/>
        <v/>
      </c>
      <c r="R117" s="4"/>
      <c r="S117" s="4"/>
      <c r="T117" s="5">
        <f t="shared" si="74"/>
        <v>0</v>
      </c>
      <c r="U117" s="6" t="str">
        <f t="shared" si="75"/>
        <v/>
      </c>
      <c r="V117" s="5">
        <f t="shared" si="76"/>
        <v>0</v>
      </c>
      <c r="W117" s="5">
        <f t="shared" si="77"/>
        <v>0</v>
      </c>
      <c r="X117" s="5">
        <f t="shared" si="78"/>
        <v>0</v>
      </c>
      <c r="Y117" s="6" t="str">
        <f t="shared" si="79"/>
        <v/>
      </c>
      <c r="Z117" s="4"/>
      <c r="AA117" s="4"/>
      <c r="AB117" s="5">
        <f t="shared" si="80"/>
        <v>0</v>
      </c>
      <c r="AC117" s="6" t="str">
        <f t="shared" si="81"/>
        <v/>
      </c>
      <c r="AD117" s="4"/>
      <c r="AE117" s="4"/>
      <c r="AF117" s="5">
        <f t="shared" si="82"/>
        <v>0</v>
      </c>
      <c r="AG117" s="6" t="str">
        <f t="shared" si="83"/>
        <v/>
      </c>
      <c r="AH117" s="5">
        <f t="shared" si="84"/>
        <v>0</v>
      </c>
      <c r="AI117" s="5">
        <f t="shared" si="85"/>
        <v>0</v>
      </c>
      <c r="AJ117" s="5">
        <f t="shared" si="86"/>
        <v>0</v>
      </c>
      <c r="AK117" s="6" t="str">
        <f t="shared" si="87"/>
        <v/>
      </c>
      <c r="AL117" s="4"/>
      <c r="AM117" s="4"/>
      <c r="AN117" s="5">
        <f t="shared" si="88"/>
        <v>0</v>
      </c>
      <c r="AO117" s="6" t="str">
        <f t="shared" si="89"/>
        <v/>
      </c>
      <c r="AP117" s="5">
        <f t="shared" si="90"/>
        <v>32.76</v>
      </c>
      <c r="AQ117" s="5">
        <f t="shared" si="91"/>
        <v>0</v>
      </c>
      <c r="AR117" s="5">
        <f t="shared" si="92"/>
        <v>32.76</v>
      </c>
      <c r="AS117" s="6" t="str">
        <f t="shared" si="93"/>
        <v/>
      </c>
    </row>
    <row r="118" spans="1:45" x14ac:dyDescent="0.2">
      <c r="A118" s="3" t="s">
        <v>126</v>
      </c>
      <c r="B118" s="7">
        <f>(B116)+(B117)</f>
        <v>32.76</v>
      </c>
      <c r="C118" s="7">
        <f>(C116)+(C117)</f>
        <v>0</v>
      </c>
      <c r="D118" s="7">
        <f t="shared" si="64"/>
        <v>32.76</v>
      </c>
      <c r="E118" s="8" t="str">
        <f t="shared" si="65"/>
        <v/>
      </c>
      <c r="F118" s="7">
        <f>(F116)+(F117)</f>
        <v>0</v>
      </c>
      <c r="G118" s="7">
        <f>(G116)+(G117)</f>
        <v>0</v>
      </c>
      <c r="H118" s="7">
        <f t="shared" si="66"/>
        <v>0</v>
      </c>
      <c r="I118" s="8" t="str">
        <f t="shared" si="67"/>
        <v/>
      </c>
      <c r="J118" s="7">
        <f t="shared" si="68"/>
        <v>32.76</v>
      </c>
      <c r="K118" s="7">
        <f t="shared" si="69"/>
        <v>0</v>
      </c>
      <c r="L118" s="7">
        <f t="shared" si="70"/>
        <v>32.76</v>
      </c>
      <c r="M118" s="8" t="str">
        <f t="shared" si="71"/>
        <v/>
      </c>
      <c r="N118" s="7">
        <f>(N116)+(N117)</f>
        <v>0</v>
      </c>
      <c r="O118" s="7">
        <f>(O116)+(O117)</f>
        <v>0</v>
      </c>
      <c r="P118" s="7">
        <f t="shared" si="72"/>
        <v>0</v>
      </c>
      <c r="Q118" s="8" t="str">
        <f t="shared" si="73"/>
        <v/>
      </c>
      <c r="R118" s="7">
        <f>(R116)+(R117)</f>
        <v>0</v>
      </c>
      <c r="S118" s="7">
        <f>(S116)+(S117)</f>
        <v>0</v>
      </c>
      <c r="T118" s="7">
        <f t="shared" si="74"/>
        <v>0</v>
      </c>
      <c r="U118" s="8" t="str">
        <f t="shared" si="75"/>
        <v/>
      </c>
      <c r="V118" s="7">
        <f t="shared" si="76"/>
        <v>0</v>
      </c>
      <c r="W118" s="7">
        <f t="shared" si="77"/>
        <v>0</v>
      </c>
      <c r="X118" s="7">
        <f t="shared" si="78"/>
        <v>0</v>
      </c>
      <c r="Y118" s="8" t="str">
        <f t="shared" si="79"/>
        <v/>
      </c>
      <c r="Z118" s="7">
        <f>(Z116)+(Z117)</f>
        <v>0</v>
      </c>
      <c r="AA118" s="7">
        <f>(AA116)+(AA117)</f>
        <v>0</v>
      </c>
      <c r="AB118" s="7">
        <f t="shared" si="80"/>
        <v>0</v>
      </c>
      <c r="AC118" s="8" t="str">
        <f t="shared" si="81"/>
        <v/>
      </c>
      <c r="AD118" s="7">
        <f>(AD116)+(AD117)</f>
        <v>0</v>
      </c>
      <c r="AE118" s="7">
        <f>(AE116)+(AE117)</f>
        <v>0</v>
      </c>
      <c r="AF118" s="7">
        <f t="shared" si="82"/>
        <v>0</v>
      </c>
      <c r="AG118" s="8" t="str">
        <f t="shared" si="83"/>
        <v/>
      </c>
      <c r="AH118" s="7">
        <f t="shared" si="84"/>
        <v>0</v>
      </c>
      <c r="AI118" s="7">
        <f t="shared" si="85"/>
        <v>0</v>
      </c>
      <c r="AJ118" s="7">
        <f t="shared" si="86"/>
        <v>0</v>
      </c>
      <c r="AK118" s="8" t="str">
        <f t="shared" si="87"/>
        <v/>
      </c>
      <c r="AL118" s="7">
        <f>(AL116)+(AL117)</f>
        <v>0</v>
      </c>
      <c r="AM118" s="7">
        <f>(AM116)+(AM117)</f>
        <v>0</v>
      </c>
      <c r="AN118" s="7">
        <f t="shared" si="88"/>
        <v>0</v>
      </c>
      <c r="AO118" s="8" t="str">
        <f t="shared" si="89"/>
        <v/>
      </c>
      <c r="AP118" s="7">
        <f t="shared" si="90"/>
        <v>32.76</v>
      </c>
      <c r="AQ118" s="7">
        <f t="shared" si="91"/>
        <v>0</v>
      </c>
      <c r="AR118" s="7">
        <f t="shared" si="92"/>
        <v>32.76</v>
      </c>
      <c r="AS118" s="8" t="str">
        <f t="shared" si="93"/>
        <v/>
      </c>
    </row>
    <row r="119" spans="1:45" x14ac:dyDescent="0.2">
      <c r="A119" s="3" t="s">
        <v>127</v>
      </c>
      <c r="B119" s="5">
        <f>625</f>
        <v>625</v>
      </c>
      <c r="C119" s="5">
        <f>231</f>
        <v>231</v>
      </c>
      <c r="D119" s="5">
        <f t="shared" si="64"/>
        <v>394</v>
      </c>
      <c r="E119" s="6">
        <f t="shared" si="65"/>
        <v>2.7056277056277058</v>
      </c>
      <c r="F119" s="4"/>
      <c r="G119" s="4"/>
      <c r="H119" s="5">
        <f t="shared" si="66"/>
        <v>0</v>
      </c>
      <c r="I119" s="6" t="str">
        <f t="shared" si="67"/>
        <v/>
      </c>
      <c r="J119" s="5">
        <f t="shared" si="68"/>
        <v>625</v>
      </c>
      <c r="K119" s="5">
        <f t="shared" si="69"/>
        <v>231</v>
      </c>
      <c r="L119" s="5">
        <f t="shared" si="70"/>
        <v>394</v>
      </c>
      <c r="M119" s="6">
        <f t="shared" si="71"/>
        <v>2.7056277056277058</v>
      </c>
      <c r="N119" s="4"/>
      <c r="O119" s="5">
        <f>234</f>
        <v>234</v>
      </c>
      <c r="P119" s="5">
        <f t="shared" si="72"/>
        <v>-234</v>
      </c>
      <c r="Q119" s="6">
        <f t="shared" si="73"/>
        <v>0</v>
      </c>
      <c r="R119" s="4"/>
      <c r="S119" s="4"/>
      <c r="T119" s="5">
        <f t="shared" si="74"/>
        <v>0</v>
      </c>
      <c r="U119" s="6" t="str">
        <f t="shared" si="75"/>
        <v/>
      </c>
      <c r="V119" s="5">
        <f t="shared" si="76"/>
        <v>0</v>
      </c>
      <c r="W119" s="5">
        <f t="shared" si="77"/>
        <v>234</v>
      </c>
      <c r="X119" s="5">
        <f t="shared" si="78"/>
        <v>-234</v>
      </c>
      <c r="Y119" s="6">
        <f t="shared" si="79"/>
        <v>0</v>
      </c>
      <c r="Z119" s="4"/>
      <c r="AA119" s="5">
        <f>234</f>
        <v>234</v>
      </c>
      <c r="AB119" s="5">
        <f t="shared" si="80"/>
        <v>-234</v>
      </c>
      <c r="AC119" s="6">
        <f t="shared" si="81"/>
        <v>0</v>
      </c>
      <c r="AD119" s="4"/>
      <c r="AE119" s="4"/>
      <c r="AF119" s="5">
        <f t="shared" si="82"/>
        <v>0</v>
      </c>
      <c r="AG119" s="6" t="str">
        <f t="shared" si="83"/>
        <v/>
      </c>
      <c r="AH119" s="5">
        <f t="shared" si="84"/>
        <v>0</v>
      </c>
      <c r="AI119" s="5">
        <f t="shared" si="85"/>
        <v>234</v>
      </c>
      <c r="AJ119" s="5">
        <f t="shared" si="86"/>
        <v>-234</v>
      </c>
      <c r="AK119" s="6">
        <f t="shared" si="87"/>
        <v>0</v>
      </c>
      <c r="AL119" s="4"/>
      <c r="AM119" s="4"/>
      <c r="AN119" s="5">
        <f t="shared" si="88"/>
        <v>0</v>
      </c>
      <c r="AO119" s="6" t="str">
        <f t="shared" si="89"/>
        <v/>
      </c>
      <c r="AP119" s="5">
        <f t="shared" si="90"/>
        <v>625</v>
      </c>
      <c r="AQ119" s="5">
        <f t="shared" si="91"/>
        <v>699</v>
      </c>
      <c r="AR119" s="5">
        <f t="shared" si="92"/>
        <v>-74</v>
      </c>
      <c r="AS119" s="6">
        <f t="shared" si="93"/>
        <v>0.89413447782546496</v>
      </c>
    </row>
    <row r="120" spans="1:45" x14ac:dyDescent="0.2">
      <c r="A120" s="3" t="s">
        <v>128</v>
      </c>
      <c r="B120" s="5">
        <f>892.19</f>
        <v>892.19</v>
      </c>
      <c r="C120" s="5">
        <f>3500</f>
        <v>3500</v>
      </c>
      <c r="D120" s="5">
        <f t="shared" si="64"/>
        <v>-2607.81</v>
      </c>
      <c r="E120" s="6">
        <f t="shared" si="65"/>
        <v>0.25491142857142857</v>
      </c>
      <c r="F120" s="4"/>
      <c r="G120" s="4"/>
      <c r="H120" s="5">
        <f t="shared" si="66"/>
        <v>0</v>
      </c>
      <c r="I120" s="6" t="str">
        <f t="shared" si="67"/>
        <v/>
      </c>
      <c r="J120" s="5">
        <f t="shared" si="68"/>
        <v>892.19</v>
      </c>
      <c r="K120" s="5">
        <f t="shared" si="69"/>
        <v>3500</v>
      </c>
      <c r="L120" s="5">
        <f t="shared" si="70"/>
        <v>-2607.81</v>
      </c>
      <c r="M120" s="6">
        <f t="shared" si="71"/>
        <v>0.25491142857142857</v>
      </c>
      <c r="N120" s="5">
        <f>744.08</f>
        <v>744.08</v>
      </c>
      <c r="O120" s="5">
        <f>920</f>
        <v>920</v>
      </c>
      <c r="P120" s="5">
        <f t="shared" si="72"/>
        <v>-175.91999999999996</v>
      </c>
      <c r="Q120" s="6">
        <f t="shared" si="73"/>
        <v>0.80878260869565222</v>
      </c>
      <c r="R120" s="4"/>
      <c r="S120" s="4"/>
      <c r="T120" s="5">
        <f t="shared" si="74"/>
        <v>0</v>
      </c>
      <c r="U120" s="6" t="str">
        <f t="shared" si="75"/>
        <v/>
      </c>
      <c r="V120" s="5">
        <f t="shared" si="76"/>
        <v>744.08</v>
      </c>
      <c r="W120" s="5">
        <f t="shared" si="77"/>
        <v>920</v>
      </c>
      <c r="X120" s="5">
        <f t="shared" si="78"/>
        <v>-175.91999999999996</v>
      </c>
      <c r="Y120" s="6">
        <f t="shared" si="79"/>
        <v>0.80878260869565222</v>
      </c>
      <c r="Z120" s="5">
        <f>620.26</f>
        <v>620.26</v>
      </c>
      <c r="AA120" s="5">
        <f>920</f>
        <v>920</v>
      </c>
      <c r="AB120" s="5">
        <f t="shared" si="80"/>
        <v>-299.74</v>
      </c>
      <c r="AC120" s="6">
        <f t="shared" si="81"/>
        <v>0.67419565217391308</v>
      </c>
      <c r="AD120" s="4"/>
      <c r="AE120" s="4"/>
      <c r="AF120" s="5">
        <f t="shared" si="82"/>
        <v>0</v>
      </c>
      <c r="AG120" s="6" t="str">
        <f t="shared" si="83"/>
        <v/>
      </c>
      <c r="AH120" s="5">
        <f t="shared" si="84"/>
        <v>620.26</v>
      </c>
      <c r="AI120" s="5">
        <f t="shared" si="85"/>
        <v>920</v>
      </c>
      <c r="AJ120" s="5">
        <f t="shared" si="86"/>
        <v>-299.74</v>
      </c>
      <c r="AK120" s="6">
        <f t="shared" si="87"/>
        <v>0.67419565217391308</v>
      </c>
      <c r="AL120" s="5">
        <f>0</f>
        <v>0</v>
      </c>
      <c r="AM120" s="4"/>
      <c r="AN120" s="5">
        <f t="shared" si="88"/>
        <v>0</v>
      </c>
      <c r="AO120" s="6" t="str">
        <f t="shared" si="89"/>
        <v/>
      </c>
      <c r="AP120" s="5">
        <f t="shared" si="90"/>
        <v>2256.5299999999997</v>
      </c>
      <c r="AQ120" s="5">
        <f t="shared" si="91"/>
        <v>5340</v>
      </c>
      <c r="AR120" s="5">
        <f t="shared" si="92"/>
        <v>-3083.4700000000003</v>
      </c>
      <c r="AS120" s="6">
        <f t="shared" si="93"/>
        <v>0.42257116104868908</v>
      </c>
    </row>
    <row r="121" spans="1:45" x14ac:dyDescent="0.2">
      <c r="A121" s="3" t="s">
        <v>129</v>
      </c>
      <c r="B121" s="5">
        <f>91.75</f>
        <v>91.75</v>
      </c>
      <c r="C121" s="5">
        <f>550</f>
        <v>550</v>
      </c>
      <c r="D121" s="5">
        <f t="shared" si="64"/>
        <v>-458.25</v>
      </c>
      <c r="E121" s="6">
        <f t="shared" si="65"/>
        <v>0.16681818181818181</v>
      </c>
      <c r="F121" s="4"/>
      <c r="G121" s="4"/>
      <c r="H121" s="5">
        <f t="shared" si="66"/>
        <v>0</v>
      </c>
      <c r="I121" s="6" t="str">
        <f t="shared" si="67"/>
        <v/>
      </c>
      <c r="J121" s="5">
        <f t="shared" si="68"/>
        <v>91.75</v>
      </c>
      <c r="K121" s="5">
        <f t="shared" si="69"/>
        <v>550</v>
      </c>
      <c r="L121" s="5">
        <f t="shared" si="70"/>
        <v>-458.25</v>
      </c>
      <c r="M121" s="6">
        <f t="shared" si="71"/>
        <v>0.16681818181818181</v>
      </c>
      <c r="N121" s="5">
        <f>582.43</f>
        <v>582.42999999999995</v>
      </c>
      <c r="O121" s="5">
        <f>300</f>
        <v>300</v>
      </c>
      <c r="P121" s="5">
        <f t="shared" si="72"/>
        <v>282.42999999999995</v>
      </c>
      <c r="Q121" s="6">
        <f t="shared" si="73"/>
        <v>1.9414333333333331</v>
      </c>
      <c r="R121" s="4"/>
      <c r="S121" s="4"/>
      <c r="T121" s="5">
        <f t="shared" si="74"/>
        <v>0</v>
      </c>
      <c r="U121" s="6" t="str">
        <f t="shared" si="75"/>
        <v/>
      </c>
      <c r="V121" s="5">
        <f t="shared" si="76"/>
        <v>582.42999999999995</v>
      </c>
      <c r="W121" s="5">
        <f t="shared" si="77"/>
        <v>300</v>
      </c>
      <c r="X121" s="5">
        <f t="shared" si="78"/>
        <v>282.42999999999995</v>
      </c>
      <c r="Y121" s="6">
        <f t="shared" si="79"/>
        <v>1.9414333333333331</v>
      </c>
      <c r="Z121" s="5">
        <f>393.42</f>
        <v>393.42</v>
      </c>
      <c r="AA121" s="5">
        <f>300</f>
        <v>300</v>
      </c>
      <c r="AB121" s="5">
        <f t="shared" si="80"/>
        <v>93.420000000000016</v>
      </c>
      <c r="AC121" s="6">
        <f t="shared" si="81"/>
        <v>1.3114000000000001</v>
      </c>
      <c r="AD121" s="4"/>
      <c r="AE121" s="4"/>
      <c r="AF121" s="5">
        <f t="shared" si="82"/>
        <v>0</v>
      </c>
      <c r="AG121" s="6" t="str">
        <f t="shared" si="83"/>
        <v/>
      </c>
      <c r="AH121" s="5">
        <f t="shared" si="84"/>
        <v>393.42</v>
      </c>
      <c r="AI121" s="5">
        <f t="shared" si="85"/>
        <v>300</v>
      </c>
      <c r="AJ121" s="5">
        <f t="shared" si="86"/>
        <v>93.420000000000016</v>
      </c>
      <c r="AK121" s="6">
        <f t="shared" si="87"/>
        <v>1.3114000000000001</v>
      </c>
      <c r="AL121" s="5">
        <f>0</f>
        <v>0</v>
      </c>
      <c r="AM121" s="4"/>
      <c r="AN121" s="5">
        <f t="shared" si="88"/>
        <v>0</v>
      </c>
      <c r="AO121" s="6" t="str">
        <f t="shared" si="89"/>
        <v/>
      </c>
      <c r="AP121" s="5">
        <f t="shared" si="90"/>
        <v>1067.5999999999999</v>
      </c>
      <c r="AQ121" s="5">
        <f t="shared" si="91"/>
        <v>1150</v>
      </c>
      <c r="AR121" s="5">
        <f t="shared" si="92"/>
        <v>-82.400000000000091</v>
      </c>
      <c r="AS121" s="6">
        <f t="shared" si="93"/>
        <v>0.92834782608695643</v>
      </c>
    </row>
    <row r="122" spans="1:45" x14ac:dyDescent="0.2">
      <c r="A122" s="3" t="s">
        <v>130</v>
      </c>
      <c r="B122" s="4"/>
      <c r="C122" s="4"/>
      <c r="D122" s="5">
        <f t="shared" si="64"/>
        <v>0</v>
      </c>
      <c r="E122" s="6" t="str">
        <f t="shared" si="65"/>
        <v/>
      </c>
      <c r="F122" s="4"/>
      <c r="G122" s="4"/>
      <c r="H122" s="5">
        <f t="shared" si="66"/>
        <v>0</v>
      </c>
      <c r="I122" s="6" t="str">
        <f t="shared" si="67"/>
        <v/>
      </c>
      <c r="J122" s="5">
        <f t="shared" si="68"/>
        <v>0</v>
      </c>
      <c r="K122" s="5">
        <f t="shared" si="69"/>
        <v>0</v>
      </c>
      <c r="L122" s="5">
        <f t="shared" si="70"/>
        <v>0</v>
      </c>
      <c r="M122" s="6" t="str">
        <f t="shared" si="71"/>
        <v/>
      </c>
      <c r="N122" s="5">
        <f>60.49</f>
        <v>60.49</v>
      </c>
      <c r="O122" s="4"/>
      <c r="P122" s="5">
        <f t="shared" si="72"/>
        <v>60.49</v>
      </c>
      <c r="Q122" s="6" t="str">
        <f t="shared" si="73"/>
        <v/>
      </c>
      <c r="R122" s="4"/>
      <c r="S122" s="4"/>
      <c r="T122" s="5">
        <f t="shared" si="74"/>
        <v>0</v>
      </c>
      <c r="U122" s="6" t="str">
        <f t="shared" si="75"/>
        <v/>
      </c>
      <c r="V122" s="5">
        <f t="shared" si="76"/>
        <v>60.49</v>
      </c>
      <c r="W122" s="5">
        <f t="shared" si="77"/>
        <v>0</v>
      </c>
      <c r="X122" s="5">
        <f t="shared" si="78"/>
        <v>60.49</v>
      </c>
      <c r="Y122" s="6" t="str">
        <f t="shared" si="79"/>
        <v/>
      </c>
      <c r="Z122" s="5">
        <f>1281</f>
        <v>1281</v>
      </c>
      <c r="AA122" s="4"/>
      <c r="AB122" s="5">
        <f t="shared" si="80"/>
        <v>1281</v>
      </c>
      <c r="AC122" s="6" t="str">
        <f t="shared" si="81"/>
        <v/>
      </c>
      <c r="AD122" s="4"/>
      <c r="AE122" s="4"/>
      <c r="AF122" s="5">
        <f t="shared" si="82"/>
        <v>0</v>
      </c>
      <c r="AG122" s="6" t="str">
        <f t="shared" si="83"/>
        <v/>
      </c>
      <c r="AH122" s="5">
        <f t="shared" si="84"/>
        <v>1281</v>
      </c>
      <c r="AI122" s="5">
        <f t="shared" si="85"/>
        <v>0</v>
      </c>
      <c r="AJ122" s="5">
        <f t="shared" si="86"/>
        <v>1281</v>
      </c>
      <c r="AK122" s="6" t="str">
        <f t="shared" si="87"/>
        <v/>
      </c>
      <c r="AL122" s="4"/>
      <c r="AM122" s="4"/>
      <c r="AN122" s="5">
        <f t="shared" si="88"/>
        <v>0</v>
      </c>
      <c r="AO122" s="6" t="str">
        <f t="shared" si="89"/>
        <v/>
      </c>
      <c r="AP122" s="5">
        <f t="shared" si="90"/>
        <v>1341.49</v>
      </c>
      <c r="AQ122" s="5">
        <f t="shared" si="91"/>
        <v>0</v>
      </c>
      <c r="AR122" s="5">
        <f t="shared" si="92"/>
        <v>1341.49</v>
      </c>
      <c r="AS122" s="6" t="str">
        <f t="shared" si="93"/>
        <v/>
      </c>
    </row>
    <row r="123" spans="1:45" x14ac:dyDescent="0.2">
      <c r="A123" s="3" t="s">
        <v>131</v>
      </c>
      <c r="B123" s="4"/>
      <c r="C123" s="4"/>
      <c r="D123" s="5">
        <f t="shared" ref="D123:D154" si="94">(B123)-(C123)</f>
        <v>0</v>
      </c>
      <c r="E123" s="6" t="str">
        <f t="shared" ref="E123:E154" si="95">IF(C123=0,"",(B123)/(C123))</f>
        <v/>
      </c>
      <c r="F123" s="4"/>
      <c r="G123" s="4"/>
      <c r="H123" s="5">
        <f t="shared" ref="H123:H154" si="96">(F123)-(G123)</f>
        <v>0</v>
      </c>
      <c r="I123" s="6" t="str">
        <f t="shared" ref="I123:I154" si="97">IF(G123=0,"",(F123)/(G123))</f>
        <v/>
      </c>
      <c r="J123" s="5">
        <f t="shared" ref="J123:J154" si="98">(B123)+(F123)</f>
        <v>0</v>
      </c>
      <c r="K123" s="5">
        <f t="shared" ref="K123:K154" si="99">(C123)+(G123)</f>
        <v>0</v>
      </c>
      <c r="L123" s="5">
        <f t="shared" ref="L123:L154" si="100">(J123)-(K123)</f>
        <v>0</v>
      </c>
      <c r="M123" s="6" t="str">
        <f t="shared" ref="M123:M154" si="101">IF(K123=0,"",(J123)/(K123))</f>
        <v/>
      </c>
      <c r="N123" s="4"/>
      <c r="O123" s="4"/>
      <c r="P123" s="5">
        <f t="shared" ref="P123:P154" si="102">(N123)-(O123)</f>
        <v>0</v>
      </c>
      <c r="Q123" s="6" t="str">
        <f t="shared" ref="Q123:Q154" si="103">IF(O123=0,"",(N123)/(O123))</f>
        <v/>
      </c>
      <c r="R123" s="4"/>
      <c r="S123" s="4"/>
      <c r="T123" s="5">
        <f t="shared" ref="T123:T154" si="104">(R123)-(S123)</f>
        <v>0</v>
      </c>
      <c r="U123" s="6" t="str">
        <f t="shared" ref="U123:U154" si="105">IF(S123=0,"",(R123)/(S123))</f>
        <v/>
      </c>
      <c r="V123" s="5">
        <f t="shared" ref="V123:V154" si="106">(N123)+(R123)</f>
        <v>0</v>
      </c>
      <c r="W123" s="5">
        <f t="shared" ref="W123:W154" si="107">(O123)+(S123)</f>
        <v>0</v>
      </c>
      <c r="X123" s="5">
        <f t="shared" ref="X123:X154" si="108">(V123)-(W123)</f>
        <v>0</v>
      </c>
      <c r="Y123" s="6" t="str">
        <f t="shared" ref="Y123:Y154" si="109">IF(W123=0,"",(V123)/(W123))</f>
        <v/>
      </c>
      <c r="Z123" s="5">
        <f>3000</f>
        <v>3000</v>
      </c>
      <c r="AA123" s="5">
        <f>3000</f>
        <v>3000</v>
      </c>
      <c r="AB123" s="5">
        <f t="shared" ref="AB123:AB154" si="110">(Z123)-(AA123)</f>
        <v>0</v>
      </c>
      <c r="AC123" s="6">
        <f t="shared" ref="AC123:AC154" si="111">IF(AA123=0,"",(Z123)/(AA123))</f>
        <v>1</v>
      </c>
      <c r="AD123" s="4"/>
      <c r="AE123" s="4"/>
      <c r="AF123" s="5">
        <f t="shared" ref="AF123:AF154" si="112">(AD123)-(AE123)</f>
        <v>0</v>
      </c>
      <c r="AG123" s="6" t="str">
        <f t="shared" ref="AG123:AG154" si="113">IF(AE123=0,"",(AD123)/(AE123))</f>
        <v/>
      </c>
      <c r="AH123" s="5">
        <f t="shared" ref="AH123:AH154" si="114">(Z123)+(AD123)</f>
        <v>3000</v>
      </c>
      <c r="AI123" s="5">
        <f t="shared" ref="AI123:AI154" si="115">(AA123)+(AE123)</f>
        <v>3000</v>
      </c>
      <c r="AJ123" s="5">
        <f t="shared" ref="AJ123:AJ154" si="116">(AH123)-(AI123)</f>
        <v>0</v>
      </c>
      <c r="AK123" s="6">
        <f t="shared" ref="AK123:AK154" si="117">IF(AI123=0,"",(AH123)/(AI123))</f>
        <v>1</v>
      </c>
      <c r="AL123" s="4"/>
      <c r="AM123" s="4"/>
      <c r="AN123" s="5">
        <f t="shared" ref="AN123:AN154" si="118">(AL123)-(AM123)</f>
        <v>0</v>
      </c>
      <c r="AO123" s="6" t="str">
        <f t="shared" ref="AO123:AO154" si="119">IF(AM123=0,"",(AL123)/(AM123))</f>
        <v/>
      </c>
      <c r="AP123" s="5">
        <f t="shared" ref="AP123:AP154" si="120">(((J123)+(V123))+(AH123))+(AL123)</f>
        <v>3000</v>
      </c>
      <c r="AQ123" s="5">
        <f t="shared" ref="AQ123:AQ154" si="121">(((K123)+(W123))+(AI123))+(AM123)</f>
        <v>3000</v>
      </c>
      <c r="AR123" s="5">
        <f t="shared" ref="AR123:AR154" si="122">(AP123)-(AQ123)</f>
        <v>0</v>
      </c>
      <c r="AS123" s="6">
        <f t="shared" ref="AS123:AS154" si="123">IF(AQ123=0,"",(AP123)/(AQ123))</f>
        <v>1</v>
      </c>
    </row>
    <row r="124" spans="1:45" x14ac:dyDescent="0.2">
      <c r="A124" s="3" t="s">
        <v>132</v>
      </c>
      <c r="B124" s="4"/>
      <c r="C124" s="4"/>
      <c r="D124" s="5">
        <f t="shared" si="94"/>
        <v>0</v>
      </c>
      <c r="E124" s="6" t="str">
        <f t="shared" si="95"/>
        <v/>
      </c>
      <c r="F124" s="4"/>
      <c r="G124" s="4"/>
      <c r="H124" s="5">
        <f t="shared" si="96"/>
        <v>0</v>
      </c>
      <c r="I124" s="6" t="str">
        <f t="shared" si="97"/>
        <v/>
      </c>
      <c r="J124" s="5">
        <f t="shared" si="98"/>
        <v>0</v>
      </c>
      <c r="K124" s="5">
        <f t="shared" si="99"/>
        <v>0</v>
      </c>
      <c r="L124" s="5">
        <f t="shared" si="100"/>
        <v>0</v>
      </c>
      <c r="M124" s="6" t="str">
        <f t="shared" si="101"/>
        <v/>
      </c>
      <c r="N124" s="4"/>
      <c r="O124" s="5">
        <f>34000</f>
        <v>34000</v>
      </c>
      <c r="P124" s="5">
        <f t="shared" si="102"/>
        <v>-34000</v>
      </c>
      <c r="Q124" s="6">
        <f t="shared" si="103"/>
        <v>0</v>
      </c>
      <c r="R124" s="4"/>
      <c r="S124" s="4"/>
      <c r="T124" s="5">
        <f t="shared" si="104"/>
        <v>0</v>
      </c>
      <c r="U124" s="6" t="str">
        <f t="shared" si="105"/>
        <v/>
      </c>
      <c r="V124" s="5">
        <f t="shared" si="106"/>
        <v>0</v>
      </c>
      <c r="W124" s="5">
        <f t="shared" si="107"/>
        <v>34000</v>
      </c>
      <c r="X124" s="5">
        <f t="shared" si="108"/>
        <v>-34000</v>
      </c>
      <c r="Y124" s="6">
        <f t="shared" si="109"/>
        <v>0</v>
      </c>
      <c r="Z124" s="4"/>
      <c r="AA124" s="5">
        <f>6550</f>
        <v>6550</v>
      </c>
      <c r="AB124" s="5">
        <f t="shared" si="110"/>
        <v>-6550</v>
      </c>
      <c r="AC124" s="6">
        <f t="shared" si="111"/>
        <v>0</v>
      </c>
      <c r="AD124" s="4"/>
      <c r="AE124" s="4"/>
      <c r="AF124" s="5">
        <f t="shared" si="112"/>
        <v>0</v>
      </c>
      <c r="AG124" s="6" t="str">
        <f t="shared" si="113"/>
        <v/>
      </c>
      <c r="AH124" s="5">
        <f t="shared" si="114"/>
        <v>0</v>
      </c>
      <c r="AI124" s="5">
        <f t="shared" si="115"/>
        <v>6550</v>
      </c>
      <c r="AJ124" s="5">
        <f t="shared" si="116"/>
        <v>-6550</v>
      </c>
      <c r="AK124" s="6">
        <f t="shared" si="117"/>
        <v>0</v>
      </c>
      <c r="AL124" s="4"/>
      <c r="AM124" s="4"/>
      <c r="AN124" s="5">
        <f t="shared" si="118"/>
        <v>0</v>
      </c>
      <c r="AO124" s="6" t="str">
        <f t="shared" si="119"/>
        <v/>
      </c>
      <c r="AP124" s="5">
        <f t="shared" si="120"/>
        <v>0</v>
      </c>
      <c r="AQ124" s="5">
        <f t="shared" si="121"/>
        <v>40550</v>
      </c>
      <c r="AR124" s="5">
        <f t="shared" si="122"/>
        <v>-40550</v>
      </c>
      <c r="AS124" s="6">
        <f t="shared" si="123"/>
        <v>0</v>
      </c>
    </row>
    <row r="125" spans="1:45" x14ac:dyDescent="0.2">
      <c r="A125" s="3" t="s">
        <v>133</v>
      </c>
      <c r="B125" s="5">
        <f>768.04</f>
        <v>768.04</v>
      </c>
      <c r="C125" s="5">
        <f>3550</f>
        <v>3550</v>
      </c>
      <c r="D125" s="5">
        <f t="shared" si="94"/>
        <v>-2781.96</v>
      </c>
      <c r="E125" s="6">
        <f t="shared" si="95"/>
        <v>0.21634929577464787</v>
      </c>
      <c r="F125" s="5">
        <f>296.43</f>
        <v>296.43</v>
      </c>
      <c r="G125" s="4"/>
      <c r="H125" s="5">
        <f t="shared" si="96"/>
        <v>296.43</v>
      </c>
      <c r="I125" s="6" t="str">
        <f t="shared" si="97"/>
        <v/>
      </c>
      <c r="J125" s="5">
        <f t="shared" si="98"/>
        <v>1064.47</v>
      </c>
      <c r="K125" s="5">
        <f t="shared" si="99"/>
        <v>3550</v>
      </c>
      <c r="L125" s="5">
        <f t="shared" si="100"/>
        <v>-2485.5299999999997</v>
      </c>
      <c r="M125" s="6">
        <f t="shared" si="101"/>
        <v>0.29985070422535209</v>
      </c>
      <c r="N125" s="5">
        <f>324.9</f>
        <v>324.89999999999998</v>
      </c>
      <c r="O125" s="5">
        <f>200</f>
        <v>200</v>
      </c>
      <c r="P125" s="5">
        <f t="shared" si="102"/>
        <v>124.89999999999998</v>
      </c>
      <c r="Q125" s="6">
        <f t="shared" si="103"/>
        <v>1.6244999999999998</v>
      </c>
      <c r="R125" s="4"/>
      <c r="S125" s="4"/>
      <c r="T125" s="5">
        <f t="shared" si="104"/>
        <v>0</v>
      </c>
      <c r="U125" s="6" t="str">
        <f t="shared" si="105"/>
        <v/>
      </c>
      <c r="V125" s="5">
        <f t="shared" si="106"/>
        <v>324.89999999999998</v>
      </c>
      <c r="W125" s="5">
        <f t="shared" si="107"/>
        <v>200</v>
      </c>
      <c r="X125" s="5">
        <f t="shared" si="108"/>
        <v>124.89999999999998</v>
      </c>
      <c r="Y125" s="6">
        <f t="shared" si="109"/>
        <v>1.6244999999999998</v>
      </c>
      <c r="Z125" s="5">
        <f>391.44</f>
        <v>391.44</v>
      </c>
      <c r="AA125" s="5">
        <f>200</f>
        <v>200</v>
      </c>
      <c r="AB125" s="5">
        <f t="shared" si="110"/>
        <v>191.44</v>
      </c>
      <c r="AC125" s="6">
        <f t="shared" si="111"/>
        <v>1.9572000000000001</v>
      </c>
      <c r="AD125" s="4"/>
      <c r="AE125" s="4"/>
      <c r="AF125" s="5">
        <f t="shared" si="112"/>
        <v>0</v>
      </c>
      <c r="AG125" s="6" t="str">
        <f t="shared" si="113"/>
        <v/>
      </c>
      <c r="AH125" s="5">
        <f t="shared" si="114"/>
        <v>391.44</v>
      </c>
      <c r="AI125" s="5">
        <f t="shared" si="115"/>
        <v>200</v>
      </c>
      <c r="AJ125" s="5">
        <f t="shared" si="116"/>
        <v>191.44</v>
      </c>
      <c r="AK125" s="6">
        <f t="shared" si="117"/>
        <v>1.9572000000000001</v>
      </c>
      <c r="AL125" s="4"/>
      <c r="AM125" s="4"/>
      <c r="AN125" s="5">
        <f t="shared" si="118"/>
        <v>0</v>
      </c>
      <c r="AO125" s="6" t="str">
        <f t="shared" si="119"/>
        <v/>
      </c>
      <c r="AP125" s="5">
        <f t="shared" si="120"/>
        <v>1780.81</v>
      </c>
      <c r="AQ125" s="5">
        <f t="shared" si="121"/>
        <v>3950</v>
      </c>
      <c r="AR125" s="5">
        <f t="shared" si="122"/>
        <v>-2169.19</v>
      </c>
      <c r="AS125" s="6">
        <f t="shared" si="123"/>
        <v>0.45083797468354431</v>
      </c>
    </row>
    <row r="126" spans="1:45" x14ac:dyDescent="0.2">
      <c r="A126" s="3" t="s">
        <v>134</v>
      </c>
      <c r="B126" s="5">
        <f>985</f>
        <v>985</v>
      </c>
      <c r="C126" s="5">
        <f>1750</f>
        <v>1750</v>
      </c>
      <c r="D126" s="5">
        <f t="shared" si="94"/>
        <v>-765</v>
      </c>
      <c r="E126" s="6">
        <f t="shared" si="95"/>
        <v>0.56285714285714283</v>
      </c>
      <c r="F126" s="4"/>
      <c r="G126" s="4"/>
      <c r="H126" s="5">
        <f t="shared" si="96"/>
        <v>0</v>
      </c>
      <c r="I126" s="6" t="str">
        <f t="shared" si="97"/>
        <v/>
      </c>
      <c r="J126" s="5">
        <f t="shared" si="98"/>
        <v>985</v>
      </c>
      <c r="K126" s="5">
        <f t="shared" si="99"/>
        <v>1750</v>
      </c>
      <c r="L126" s="5">
        <f t="shared" si="100"/>
        <v>-765</v>
      </c>
      <c r="M126" s="6">
        <f t="shared" si="101"/>
        <v>0.56285714285714283</v>
      </c>
      <c r="N126" s="4"/>
      <c r="O126" s="5">
        <f>300</f>
        <v>300</v>
      </c>
      <c r="P126" s="5">
        <f t="shared" si="102"/>
        <v>-300</v>
      </c>
      <c r="Q126" s="6">
        <f t="shared" si="103"/>
        <v>0</v>
      </c>
      <c r="R126" s="4"/>
      <c r="S126" s="4"/>
      <c r="T126" s="5">
        <f t="shared" si="104"/>
        <v>0</v>
      </c>
      <c r="U126" s="6" t="str">
        <f t="shared" si="105"/>
        <v/>
      </c>
      <c r="V126" s="5">
        <f t="shared" si="106"/>
        <v>0</v>
      </c>
      <c r="W126" s="5">
        <f t="shared" si="107"/>
        <v>300</v>
      </c>
      <c r="X126" s="5">
        <f t="shared" si="108"/>
        <v>-300</v>
      </c>
      <c r="Y126" s="6">
        <f t="shared" si="109"/>
        <v>0</v>
      </c>
      <c r="Z126" s="4"/>
      <c r="AA126" s="5">
        <f>300</f>
        <v>300</v>
      </c>
      <c r="AB126" s="5">
        <f t="shared" si="110"/>
        <v>-300</v>
      </c>
      <c r="AC126" s="6">
        <f t="shared" si="111"/>
        <v>0</v>
      </c>
      <c r="AD126" s="4"/>
      <c r="AE126" s="4"/>
      <c r="AF126" s="5">
        <f t="shared" si="112"/>
        <v>0</v>
      </c>
      <c r="AG126" s="6" t="str">
        <f t="shared" si="113"/>
        <v/>
      </c>
      <c r="AH126" s="5">
        <f t="shared" si="114"/>
        <v>0</v>
      </c>
      <c r="AI126" s="5">
        <f t="shared" si="115"/>
        <v>300</v>
      </c>
      <c r="AJ126" s="5">
        <f t="shared" si="116"/>
        <v>-300</v>
      </c>
      <c r="AK126" s="6">
        <f t="shared" si="117"/>
        <v>0</v>
      </c>
      <c r="AL126" s="4"/>
      <c r="AM126" s="4"/>
      <c r="AN126" s="5">
        <f t="shared" si="118"/>
        <v>0</v>
      </c>
      <c r="AO126" s="6" t="str">
        <f t="shared" si="119"/>
        <v/>
      </c>
      <c r="AP126" s="5">
        <f t="shared" si="120"/>
        <v>985</v>
      </c>
      <c r="AQ126" s="5">
        <f t="shared" si="121"/>
        <v>2350</v>
      </c>
      <c r="AR126" s="5">
        <f t="shared" si="122"/>
        <v>-1365</v>
      </c>
      <c r="AS126" s="6">
        <f t="shared" si="123"/>
        <v>0.41914893617021276</v>
      </c>
    </row>
    <row r="127" spans="1:45" x14ac:dyDescent="0.2">
      <c r="A127" s="3" t="s">
        <v>135</v>
      </c>
      <c r="B127" s="5">
        <f>5115.87</f>
        <v>5115.87</v>
      </c>
      <c r="C127" s="4"/>
      <c r="D127" s="5">
        <f t="shared" si="94"/>
        <v>5115.87</v>
      </c>
      <c r="E127" s="6" t="str">
        <f t="shared" si="95"/>
        <v/>
      </c>
      <c r="F127" s="4"/>
      <c r="G127" s="4"/>
      <c r="H127" s="5">
        <f t="shared" si="96"/>
        <v>0</v>
      </c>
      <c r="I127" s="6" t="str">
        <f t="shared" si="97"/>
        <v/>
      </c>
      <c r="J127" s="5">
        <f t="shared" si="98"/>
        <v>5115.87</v>
      </c>
      <c r="K127" s="5">
        <f t="shared" si="99"/>
        <v>0</v>
      </c>
      <c r="L127" s="5">
        <f t="shared" si="100"/>
        <v>5115.87</v>
      </c>
      <c r="M127" s="6" t="str">
        <f t="shared" si="101"/>
        <v/>
      </c>
      <c r="N127" s="4"/>
      <c r="O127" s="4"/>
      <c r="P127" s="5">
        <f t="shared" si="102"/>
        <v>0</v>
      </c>
      <c r="Q127" s="6" t="str">
        <f t="shared" si="103"/>
        <v/>
      </c>
      <c r="R127" s="4"/>
      <c r="S127" s="4"/>
      <c r="T127" s="5">
        <f t="shared" si="104"/>
        <v>0</v>
      </c>
      <c r="U127" s="6" t="str">
        <f t="shared" si="105"/>
        <v/>
      </c>
      <c r="V127" s="5">
        <f t="shared" si="106"/>
        <v>0</v>
      </c>
      <c r="W127" s="5">
        <f t="shared" si="107"/>
        <v>0</v>
      </c>
      <c r="X127" s="5">
        <f t="shared" si="108"/>
        <v>0</v>
      </c>
      <c r="Y127" s="6" t="str">
        <f t="shared" si="109"/>
        <v/>
      </c>
      <c r="Z127" s="4"/>
      <c r="AA127" s="4"/>
      <c r="AB127" s="5">
        <f t="shared" si="110"/>
        <v>0</v>
      </c>
      <c r="AC127" s="6" t="str">
        <f t="shared" si="111"/>
        <v/>
      </c>
      <c r="AD127" s="4"/>
      <c r="AE127" s="4"/>
      <c r="AF127" s="5">
        <f t="shared" si="112"/>
        <v>0</v>
      </c>
      <c r="AG127" s="6" t="str">
        <f t="shared" si="113"/>
        <v/>
      </c>
      <c r="AH127" s="5">
        <f t="shared" si="114"/>
        <v>0</v>
      </c>
      <c r="AI127" s="5">
        <f t="shared" si="115"/>
        <v>0</v>
      </c>
      <c r="AJ127" s="5">
        <f t="shared" si="116"/>
        <v>0</v>
      </c>
      <c r="AK127" s="6" t="str">
        <f t="shared" si="117"/>
        <v/>
      </c>
      <c r="AL127" s="4"/>
      <c r="AM127" s="4"/>
      <c r="AN127" s="5">
        <f t="shared" si="118"/>
        <v>0</v>
      </c>
      <c r="AO127" s="6" t="str">
        <f t="shared" si="119"/>
        <v/>
      </c>
      <c r="AP127" s="5">
        <f t="shared" si="120"/>
        <v>5115.87</v>
      </c>
      <c r="AQ127" s="5">
        <f t="shared" si="121"/>
        <v>0</v>
      </c>
      <c r="AR127" s="5">
        <f t="shared" si="122"/>
        <v>5115.87</v>
      </c>
      <c r="AS127" s="6" t="str">
        <f t="shared" si="123"/>
        <v/>
      </c>
    </row>
    <row r="128" spans="1:45" x14ac:dyDescent="0.2">
      <c r="A128" s="3" t="s">
        <v>136</v>
      </c>
      <c r="B128" s="5">
        <f>35549.75</f>
        <v>35549.75</v>
      </c>
      <c r="C128" s="5">
        <f>37000</f>
        <v>37000</v>
      </c>
      <c r="D128" s="5">
        <f t="shared" si="94"/>
        <v>-1450.25</v>
      </c>
      <c r="E128" s="6">
        <f t="shared" si="95"/>
        <v>0.960804054054054</v>
      </c>
      <c r="F128" s="4"/>
      <c r="G128" s="4"/>
      <c r="H128" s="5">
        <f t="shared" si="96"/>
        <v>0</v>
      </c>
      <c r="I128" s="6" t="str">
        <f t="shared" si="97"/>
        <v/>
      </c>
      <c r="J128" s="5">
        <f t="shared" si="98"/>
        <v>35549.75</v>
      </c>
      <c r="K128" s="5">
        <f t="shared" si="99"/>
        <v>37000</v>
      </c>
      <c r="L128" s="5">
        <f t="shared" si="100"/>
        <v>-1450.25</v>
      </c>
      <c r="M128" s="6">
        <f t="shared" si="101"/>
        <v>0.960804054054054</v>
      </c>
      <c r="N128" s="4"/>
      <c r="O128" s="4"/>
      <c r="P128" s="5">
        <f t="shared" si="102"/>
        <v>0</v>
      </c>
      <c r="Q128" s="6" t="str">
        <f t="shared" si="103"/>
        <v/>
      </c>
      <c r="R128" s="4"/>
      <c r="S128" s="4"/>
      <c r="T128" s="5">
        <f t="shared" si="104"/>
        <v>0</v>
      </c>
      <c r="U128" s="6" t="str">
        <f t="shared" si="105"/>
        <v/>
      </c>
      <c r="V128" s="5">
        <f t="shared" si="106"/>
        <v>0</v>
      </c>
      <c r="W128" s="5">
        <f t="shared" si="107"/>
        <v>0</v>
      </c>
      <c r="X128" s="5">
        <f t="shared" si="108"/>
        <v>0</v>
      </c>
      <c r="Y128" s="6" t="str">
        <f t="shared" si="109"/>
        <v/>
      </c>
      <c r="Z128" s="4"/>
      <c r="AA128" s="4"/>
      <c r="AB128" s="5">
        <f t="shared" si="110"/>
        <v>0</v>
      </c>
      <c r="AC128" s="6" t="str">
        <f t="shared" si="111"/>
        <v/>
      </c>
      <c r="AD128" s="4"/>
      <c r="AE128" s="4"/>
      <c r="AF128" s="5">
        <f t="shared" si="112"/>
        <v>0</v>
      </c>
      <c r="AG128" s="6" t="str">
        <f t="shared" si="113"/>
        <v/>
      </c>
      <c r="AH128" s="5">
        <f t="shared" si="114"/>
        <v>0</v>
      </c>
      <c r="AI128" s="5">
        <f t="shared" si="115"/>
        <v>0</v>
      </c>
      <c r="AJ128" s="5">
        <f t="shared" si="116"/>
        <v>0</v>
      </c>
      <c r="AK128" s="6" t="str">
        <f t="shared" si="117"/>
        <v/>
      </c>
      <c r="AL128" s="4"/>
      <c r="AM128" s="4"/>
      <c r="AN128" s="5">
        <f t="shared" si="118"/>
        <v>0</v>
      </c>
      <c r="AO128" s="6" t="str">
        <f t="shared" si="119"/>
        <v/>
      </c>
      <c r="AP128" s="5">
        <f t="shared" si="120"/>
        <v>35549.75</v>
      </c>
      <c r="AQ128" s="5">
        <f t="shared" si="121"/>
        <v>37000</v>
      </c>
      <c r="AR128" s="5">
        <f t="shared" si="122"/>
        <v>-1450.25</v>
      </c>
      <c r="AS128" s="6">
        <f t="shared" si="123"/>
        <v>0.960804054054054</v>
      </c>
    </row>
    <row r="129" spans="1:45" x14ac:dyDescent="0.2">
      <c r="A129" s="3" t="s">
        <v>137</v>
      </c>
      <c r="B129" s="4"/>
      <c r="C129" s="4"/>
      <c r="D129" s="5">
        <f t="shared" si="94"/>
        <v>0</v>
      </c>
      <c r="E129" s="6" t="str">
        <f t="shared" si="95"/>
        <v/>
      </c>
      <c r="F129" s="4"/>
      <c r="G129" s="4"/>
      <c r="H129" s="5">
        <f t="shared" si="96"/>
        <v>0</v>
      </c>
      <c r="I129" s="6" t="str">
        <f t="shared" si="97"/>
        <v/>
      </c>
      <c r="J129" s="5">
        <f t="shared" si="98"/>
        <v>0</v>
      </c>
      <c r="K129" s="5">
        <f t="shared" si="99"/>
        <v>0</v>
      </c>
      <c r="L129" s="5">
        <f t="shared" si="100"/>
        <v>0</v>
      </c>
      <c r="M129" s="6" t="str">
        <f t="shared" si="101"/>
        <v/>
      </c>
      <c r="N129" s="5">
        <f>24272.5</f>
        <v>24272.5</v>
      </c>
      <c r="O129" s="5">
        <f>27000</f>
        <v>27000</v>
      </c>
      <c r="P129" s="5">
        <f t="shared" si="102"/>
        <v>-2727.5</v>
      </c>
      <c r="Q129" s="6">
        <f t="shared" si="103"/>
        <v>0.89898148148148149</v>
      </c>
      <c r="R129" s="4"/>
      <c r="S129" s="4"/>
      <c r="T129" s="5">
        <f t="shared" si="104"/>
        <v>0</v>
      </c>
      <c r="U129" s="6" t="str">
        <f t="shared" si="105"/>
        <v/>
      </c>
      <c r="V129" s="5">
        <f t="shared" si="106"/>
        <v>24272.5</v>
      </c>
      <c r="W129" s="5">
        <f t="shared" si="107"/>
        <v>27000</v>
      </c>
      <c r="X129" s="5">
        <f t="shared" si="108"/>
        <v>-2727.5</v>
      </c>
      <c r="Y129" s="6">
        <f t="shared" si="109"/>
        <v>0.89898148148148149</v>
      </c>
      <c r="Z129" s="4"/>
      <c r="AA129" s="4"/>
      <c r="AB129" s="5">
        <f t="shared" si="110"/>
        <v>0</v>
      </c>
      <c r="AC129" s="6" t="str">
        <f t="shared" si="111"/>
        <v/>
      </c>
      <c r="AD129" s="4"/>
      <c r="AE129" s="4"/>
      <c r="AF129" s="5">
        <f t="shared" si="112"/>
        <v>0</v>
      </c>
      <c r="AG129" s="6" t="str">
        <f t="shared" si="113"/>
        <v/>
      </c>
      <c r="AH129" s="5">
        <f t="shared" si="114"/>
        <v>0</v>
      </c>
      <c r="AI129" s="5">
        <f t="shared" si="115"/>
        <v>0</v>
      </c>
      <c r="AJ129" s="5">
        <f t="shared" si="116"/>
        <v>0</v>
      </c>
      <c r="AK129" s="6" t="str">
        <f t="shared" si="117"/>
        <v/>
      </c>
      <c r="AL129" s="4"/>
      <c r="AM129" s="4"/>
      <c r="AN129" s="5">
        <f t="shared" si="118"/>
        <v>0</v>
      </c>
      <c r="AO129" s="6" t="str">
        <f t="shared" si="119"/>
        <v/>
      </c>
      <c r="AP129" s="5">
        <f t="shared" si="120"/>
        <v>24272.5</v>
      </c>
      <c r="AQ129" s="5">
        <f t="shared" si="121"/>
        <v>27000</v>
      </c>
      <c r="AR129" s="5">
        <f t="shared" si="122"/>
        <v>-2727.5</v>
      </c>
      <c r="AS129" s="6">
        <f t="shared" si="123"/>
        <v>0.89898148148148149</v>
      </c>
    </row>
    <row r="130" spans="1:45" x14ac:dyDescent="0.2">
      <c r="A130" s="3" t="s">
        <v>138</v>
      </c>
      <c r="B130" s="5">
        <f>5135.28</f>
        <v>5135.28</v>
      </c>
      <c r="C130" s="5">
        <f>7800</f>
        <v>7800</v>
      </c>
      <c r="D130" s="5">
        <f t="shared" si="94"/>
        <v>-2664.7200000000003</v>
      </c>
      <c r="E130" s="6">
        <f t="shared" si="95"/>
        <v>0.65836923076923071</v>
      </c>
      <c r="F130" s="5">
        <f>945</f>
        <v>945</v>
      </c>
      <c r="G130" s="4"/>
      <c r="H130" s="5">
        <f t="shared" si="96"/>
        <v>945</v>
      </c>
      <c r="I130" s="6" t="str">
        <f t="shared" si="97"/>
        <v/>
      </c>
      <c r="J130" s="5">
        <f t="shared" si="98"/>
        <v>6080.28</v>
      </c>
      <c r="K130" s="5">
        <f t="shared" si="99"/>
        <v>7800</v>
      </c>
      <c r="L130" s="5">
        <f t="shared" si="100"/>
        <v>-1719.7200000000003</v>
      </c>
      <c r="M130" s="6">
        <f t="shared" si="101"/>
        <v>0.77952307692307687</v>
      </c>
      <c r="N130" s="4"/>
      <c r="O130" s="4"/>
      <c r="P130" s="5">
        <f t="shared" si="102"/>
        <v>0</v>
      </c>
      <c r="Q130" s="6" t="str">
        <f t="shared" si="103"/>
        <v/>
      </c>
      <c r="R130" s="4"/>
      <c r="S130" s="4"/>
      <c r="T130" s="5">
        <f t="shared" si="104"/>
        <v>0</v>
      </c>
      <c r="U130" s="6" t="str">
        <f t="shared" si="105"/>
        <v/>
      </c>
      <c r="V130" s="5">
        <f t="shared" si="106"/>
        <v>0</v>
      </c>
      <c r="W130" s="5">
        <f t="shared" si="107"/>
        <v>0</v>
      </c>
      <c r="X130" s="5">
        <f t="shared" si="108"/>
        <v>0</v>
      </c>
      <c r="Y130" s="6" t="str">
        <f t="shared" si="109"/>
        <v/>
      </c>
      <c r="Z130" s="4"/>
      <c r="AA130" s="4"/>
      <c r="AB130" s="5">
        <f t="shared" si="110"/>
        <v>0</v>
      </c>
      <c r="AC130" s="6" t="str">
        <f t="shared" si="111"/>
        <v/>
      </c>
      <c r="AD130" s="4"/>
      <c r="AE130" s="4"/>
      <c r="AF130" s="5">
        <f t="shared" si="112"/>
        <v>0</v>
      </c>
      <c r="AG130" s="6" t="str">
        <f t="shared" si="113"/>
        <v/>
      </c>
      <c r="AH130" s="5">
        <f t="shared" si="114"/>
        <v>0</v>
      </c>
      <c r="AI130" s="5">
        <f t="shared" si="115"/>
        <v>0</v>
      </c>
      <c r="AJ130" s="5">
        <f t="shared" si="116"/>
        <v>0</v>
      </c>
      <c r="AK130" s="6" t="str">
        <f t="shared" si="117"/>
        <v/>
      </c>
      <c r="AL130" s="4"/>
      <c r="AM130" s="4"/>
      <c r="AN130" s="5">
        <f t="shared" si="118"/>
        <v>0</v>
      </c>
      <c r="AO130" s="6" t="str">
        <f t="shared" si="119"/>
        <v/>
      </c>
      <c r="AP130" s="5">
        <f t="shared" si="120"/>
        <v>6080.28</v>
      </c>
      <c r="AQ130" s="5">
        <f t="shared" si="121"/>
        <v>7800</v>
      </c>
      <c r="AR130" s="5">
        <f t="shared" si="122"/>
        <v>-1719.7200000000003</v>
      </c>
      <c r="AS130" s="6">
        <f t="shared" si="123"/>
        <v>0.77952307692307687</v>
      </c>
    </row>
    <row r="131" spans="1:45" x14ac:dyDescent="0.2">
      <c r="A131" s="3" t="s">
        <v>139</v>
      </c>
      <c r="B131" s="5">
        <f>3025.65</f>
        <v>3025.65</v>
      </c>
      <c r="C131" s="5">
        <f>41000</f>
        <v>41000</v>
      </c>
      <c r="D131" s="5">
        <f t="shared" si="94"/>
        <v>-37974.35</v>
      </c>
      <c r="E131" s="6">
        <f t="shared" si="95"/>
        <v>7.3796341463414641E-2</v>
      </c>
      <c r="F131" s="4"/>
      <c r="G131" s="4"/>
      <c r="H131" s="5">
        <f t="shared" si="96"/>
        <v>0</v>
      </c>
      <c r="I131" s="6" t="str">
        <f t="shared" si="97"/>
        <v/>
      </c>
      <c r="J131" s="5">
        <f t="shared" si="98"/>
        <v>3025.65</v>
      </c>
      <c r="K131" s="5">
        <f t="shared" si="99"/>
        <v>41000</v>
      </c>
      <c r="L131" s="5">
        <f t="shared" si="100"/>
        <v>-37974.35</v>
      </c>
      <c r="M131" s="6">
        <f t="shared" si="101"/>
        <v>7.3796341463414641E-2</v>
      </c>
      <c r="N131" s="4"/>
      <c r="O131" s="5">
        <f>3500</f>
        <v>3500</v>
      </c>
      <c r="P131" s="5">
        <f t="shared" si="102"/>
        <v>-3500</v>
      </c>
      <c r="Q131" s="6">
        <f t="shared" si="103"/>
        <v>0</v>
      </c>
      <c r="R131" s="4"/>
      <c r="S131" s="4"/>
      <c r="T131" s="5">
        <f t="shared" si="104"/>
        <v>0</v>
      </c>
      <c r="U131" s="6" t="str">
        <f t="shared" si="105"/>
        <v/>
      </c>
      <c r="V131" s="5">
        <f t="shared" si="106"/>
        <v>0</v>
      </c>
      <c r="W131" s="5">
        <f t="shared" si="107"/>
        <v>3500</v>
      </c>
      <c r="X131" s="5">
        <f t="shared" si="108"/>
        <v>-3500</v>
      </c>
      <c r="Y131" s="6">
        <f t="shared" si="109"/>
        <v>0</v>
      </c>
      <c r="Z131" s="4"/>
      <c r="AA131" s="4"/>
      <c r="AB131" s="5">
        <f t="shared" si="110"/>
        <v>0</v>
      </c>
      <c r="AC131" s="6" t="str">
        <f t="shared" si="111"/>
        <v/>
      </c>
      <c r="AD131" s="4"/>
      <c r="AE131" s="4"/>
      <c r="AF131" s="5">
        <f t="shared" si="112"/>
        <v>0</v>
      </c>
      <c r="AG131" s="6" t="str">
        <f t="shared" si="113"/>
        <v/>
      </c>
      <c r="AH131" s="5">
        <f t="shared" si="114"/>
        <v>0</v>
      </c>
      <c r="AI131" s="5">
        <f t="shared" si="115"/>
        <v>0</v>
      </c>
      <c r="AJ131" s="5">
        <f t="shared" si="116"/>
        <v>0</v>
      </c>
      <c r="AK131" s="6" t="str">
        <f t="shared" si="117"/>
        <v/>
      </c>
      <c r="AL131" s="4"/>
      <c r="AM131" s="4"/>
      <c r="AN131" s="5">
        <f t="shared" si="118"/>
        <v>0</v>
      </c>
      <c r="AO131" s="6" t="str">
        <f t="shared" si="119"/>
        <v/>
      </c>
      <c r="AP131" s="5">
        <f t="shared" si="120"/>
        <v>3025.65</v>
      </c>
      <c r="AQ131" s="5">
        <f t="shared" si="121"/>
        <v>44500</v>
      </c>
      <c r="AR131" s="5">
        <f t="shared" si="122"/>
        <v>-41474.35</v>
      </c>
      <c r="AS131" s="6">
        <f t="shared" si="123"/>
        <v>6.7992134831460674E-2</v>
      </c>
    </row>
    <row r="132" spans="1:45" x14ac:dyDescent="0.2">
      <c r="A132" s="3" t="s">
        <v>140</v>
      </c>
      <c r="B132" s="4"/>
      <c r="C132" s="4"/>
      <c r="D132" s="5">
        <f t="shared" si="94"/>
        <v>0</v>
      </c>
      <c r="E132" s="6" t="str">
        <f t="shared" si="95"/>
        <v/>
      </c>
      <c r="F132" s="5">
        <f>1026</f>
        <v>1026</v>
      </c>
      <c r="G132" s="4"/>
      <c r="H132" s="5">
        <f t="shared" si="96"/>
        <v>1026</v>
      </c>
      <c r="I132" s="6" t="str">
        <f t="shared" si="97"/>
        <v/>
      </c>
      <c r="J132" s="5">
        <f t="shared" si="98"/>
        <v>1026</v>
      </c>
      <c r="K132" s="5">
        <f t="shared" si="99"/>
        <v>0</v>
      </c>
      <c r="L132" s="5">
        <f t="shared" si="100"/>
        <v>1026</v>
      </c>
      <c r="M132" s="6" t="str">
        <f t="shared" si="101"/>
        <v/>
      </c>
      <c r="N132" s="4"/>
      <c r="O132" s="4"/>
      <c r="P132" s="5">
        <f t="shared" si="102"/>
        <v>0</v>
      </c>
      <c r="Q132" s="6" t="str">
        <f t="shared" si="103"/>
        <v/>
      </c>
      <c r="R132" s="4"/>
      <c r="S132" s="4"/>
      <c r="T132" s="5">
        <f t="shared" si="104"/>
        <v>0</v>
      </c>
      <c r="U132" s="6" t="str">
        <f t="shared" si="105"/>
        <v/>
      </c>
      <c r="V132" s="5">
        <f t="shared" si="106"/>
        <v>0</v>
      </c>
      <c r="W132" s="5">
        <f t="shared" si="107"/>
        <v>0</v>
      </c>
      <c r="X132" s="5">
        <f t="shared" si="108"/>
        <v>0</v>
      </c>
      <c r="Y132" s="6" t="str">
        <f t="shared" si="109"/>
        <v/>
      </c>
      <c r="Z132" s="4"/>
      <c r="AA132" s="4"/>
      <c r="AB132" s="5">
        <f t="shared" si="110"/>
        <v>0</v>
      </c>
      <c r="AC132" s="6" t="str">
        <f t="shared" si="111"/>
        <v/>
      </c>
      <c r="AD132" s="4"/>
      <c r="AE132" s="4"/>
      <c r="AF132" s="5">
        <f t="shared" si="112"/>
        <v>0</v>
      </c>
      <c r="AG132" s="6" t="str">
        <f t="shared" si="113"/>
        <v/>
      </c>
      <c r="AH132" s="5">
        <f t="shared" si="114"/>
        <v>0</v>
      </c>
      <c r="AI132" s="5">
        <f t="shared" si="115"/>
        <v>0</v>
      </c>
      <c r="AJ132" s="5">
        <f t="shared" si="116"/>
        <v>0</v>
      </c>
      <c r="AK132" s="6" t="str">
        <f t="shared" si="117"/>
        <v/>
      </c>
      <c r="AL132" s="4"/>
      <c r="AM132" s="4"/>
      <c r="AN132" s="5">
        <f t="shared" si="118"/>
        <v>0</v>
      </c>
      <c r="AO132" s="6" t="str">
        <f t="shared" si="119"/>
        <v/>
      </c>
      <c r="AP132" s="5">
        <f t="shared" si="120"/>
        <v>1026</v>
      </c>
      <c r="AQ132" s="5">
        <f t="shared" si="121"/>
        <v>0</v>
      </c>
      <c r="AR132" s="5">
        <f t="shared" si="122"/>
        <v>1026</v>
      </c>
      <c r="AS132" s="6" t="str">
        <f t="shared" si="123"/>
        <v/>
      </c>
    </row>
    <row r="133" spans="1:45" x14ac:dyDescent="0.2">
      <c r="A133" s="3" t="s">
        <v>141</v>
      </c>
      <c r="B133" s="5">
        <f>360</f>
        <v>360</v>
      </c>
      <c r="C133" s="4"/>
      <c r="D133" s="5">
        <f t="shared" si="94"/>
        <v>360</v>
      </c>
      <c r="E133" s="6" t="str">
        <f t="shared" si="95"/>
        <v/>
      </c>
      <c r="F133" s="4"/>
      <c r="G133" s="4"/>
      <c r="H133" s="5">
        <f t="shared" si="96"/>
        <v>0</v>
      </c>
      <c r="I133" s="6" t="str">
        <f t="shared" si="97"/>
        <v/>
      </c>
      <c r="J133" s="5">
        <f t="shared" si="98"/>
        <v>360</v>
      </c>
      <c r="K133" s="5">
        <f t="shared" si="99"/>
        <v>0</v>
      </c>
      <c r="L133" s="5">
        <f t="shared" si="100"/>
        <v>360</v>
      </c>
      <c r="M133" s="6" t="str">
        <f t="shared" si="101"/>
        <v/>
      </c>
      <c r="N133" s="5">
        <f>5853.95</f>
        <v>5853.95</v>
      </c>
      <c r="O133" s="4"/>
      <c r="P133" s="5">
        <f t="shared" si="102"/>
        <v>5853.95</v>
      </c>
      <c r="Q133" s="6" t="str">
        <f t="shared" si="103"/>
        <v/>
      </c>
      <c r="R133" s="4"/>
      <c r="S133" s="4"/>
      <c r="T133" s="5">
        <f t="shared" si="104"/>
        <v>0</v>
      </c>
      <c r="U133" s="6" t="str">
        <f t="shared" si="105"/>
        <v/>
      </c>
      <c r="V133" s="5">
        <f t="shared" si="106"/>
        <v>5853.95</v>
      </c>
      <c r="W133" s="5">
        <f t="shared" si="107"/>
        <v>0</v>
      </c>
      <c r="X133" s="5">
        <f t="shared" si="108"/>
        <v>5853.95</v>
      </c>
      <c r="Y133" s="6" t="str">
        <f t="shared" si="109"/>
        <v/>
      </c>
      <c r="Z133" s="5">
        <f>4161.47</f>
        <v>4161.47</v>
      </c>
      <c r="AA133" s="4"/>
      <c r="AB133" s="5">
        <f t="shared" si="110"/>
        <v>4161.47</v>
      </c>
      <c r="AC133" s="6" t="str">
        <f t="shared" si="111"/>
        <v/>
      </c>
      <c r="AD133" s="5">
        <f>9207</f>
        <v>9207</v>
      </c>
      <c r="AE133" s="4"/>
      <c r="AF133" s="5">
        <f t="shared" si="112"/>
        <v>9207</v>
      </c>
      <c r="AG133" s="6" t="str">
        <f t="shared" si="113"/>
        <v/>
      </c>
      <c r="AH133" s="5">
        <f t="shared" si="114"/>
        <v>13368.470000000001</v>
      </c>
      <c r="AI133" s="5">
        <f t="shared" si="115"/>
        <v>0</v>
      </c>
      <c r="AJ133" s="5">
        <f t="shared" si="116"/>
        <v>13368.470000000001</v>
      </c>
      <c r="AK133" s="6" t="str">
        <f t="shared" si="117"/>
        <v/>
      </c>
      <c r="AL133" s="5">
        <f>0</f>
        <v>0</v>
      </c>
      <c r="AM133" s="4"/>
      <c r="AN133" s="5">
        <f t="shared" si="118"/>
        <v>0</v>
      </c>
      <c r="AO133" s="6" t="str">
        <f t="shared" si="119"/>
        <v/>
      </c>
      <c r="AP133" s="5">
        <f t="shared" si="120"/>
        <v>19582.420000000002</v>
      </c>
      <c r="AQ133" s="5">
        <f t="shared" si="121"/>
        <v>0</v>
      </c>
      <c r="AR133" s="5">
        <f t="shared" si="122"/>
        <v>19582.420000000002</v>
      </c>
      <c r="AS133" s="6" t="str">
        <f t="shared" si="123"/>
        <v/>
      </c>
    </row>
    <row r="134" spans="1:45" x14ac:dyDescent="0.2">
      <c r="A134" s="3" t="s">
        <v>142</v>
      </c>
      <c r="B134" s="4"/>
      <c r="C134" s="4"/>
      <c r="D134" s="5">
        <f t="shared" si="94"/>
        <v>0</v>
      </c>
      <c r="E134" s="6" t="str">
        <f t="shared" si="95"/>
        <v/>
      </c>
      <c r="F134" s="4"/>
      <c r="G134" s="4"/>
      <c r="H134" s="5">
        <f t="shared" si="96"/>
        <v>0</v>
      </c>
      <c r="I134" s="6" t="str">
        <f t="shared" si="97"/>
        <v/>
      </c>
      <c r="J134" s="5">
        <f t="shared" si="98"/>
        <v>0</v>
      </c>
      <c r="K134" s="5">
        <f t="shared" si="99"/>
        <v>0</v>
      </c>
      <c r="L134" s="5">
        <f t="shared" si="100"/>
        <v>0</v>
      </c>
      <c r="M134" s="6" t="str">
        <f t="shared" si="101"/>
        <v/>
      </c>
      <c r="N134" s="4"/>
      <c r="O134" s="4"/>
      <c r="P134" s="5">
        <f t="shared" si="102"/>
        <v>0</v>
      </c>
      <c r="Q134" s="6" t="str">
        <f t="shared" si="103"/>
        <v/>
      </c>
      <c r="R134" s="4"/>
      <c r="S134" s="4"/>
      <c r="T134" s="5">
        <f t="shared" si="104"/>
        <v>0</v>
      </c>
      <c r="U134" s="6" t="str">
        <f t="shared" si="105"/>
        <v/>
      </c>
      <c r="V134" s="5">
        <f t="shared" si="106"/>
        <v>0</v>
      </c>
      <c r="W134" s="5">
        <f t="shared" si="107"/>
        <v>0</v>
      </c>
      <c r="X134" s="5">
        <f t="shared" si="108"/>
        <v>0</v>
      </c>
      <c r="Y134" s="6" t="str">
        <f t="shared" si="109"/>
        <v/>
      </c>
      <c r="Z134" s="4"/>
      <c r="AA134" s="4"/>
      <c r="AB134" s="5">
        <f t="shared" si="110"/>
        <v>0</v>
      </c>
      <c r="AC134" s="6" t="str">
        <f t="shared" si="111"/>
        <v/>
      </c>
      <c r="AD134" s="4"/>
      <c r="AE134" s="4"/>
      <c r="AF134" s="5">
        <f t="shared" si="112"/>
        <v>0</v>
      </c>
      <c r="AG134" s="6" t="str">
        <f t="shared" si="113"/>
        <v/>
      </c>
      <c r="AH134" s="5">
        <f t="shared" si="114"/>
        <v>0</v>
      </c>
      <c r="AI134" s="5">
        <f t="shared" si="115"/>
        <v>0</v>
      </c>
      <c r="AJ134" s="5">
        <f t="shared" si="116"/>
        <v>0</v>
      </c>
      <c r="AK134" s="6" t="str">
        <f t="shared" si="117"/>
        <v/>
      </c>
      <c r="AL134" s="4"/>
      <c r="AM134" s="4"/>
      <c r="AN134" s="5">
        <f t="shared" si="118"/>
        <v>0</v>
      </c>
      <c r="AO134" s="6" t="str">
        <f t="shared" si="119"/>
        <v/>
      </c>
      <c r="AP134" s="5">
        <f t="shared" si="120"/>
        <v>0</v>
      </c>
      <c r="AQ134" s="5">
        <f t="shared" si="121"/>
        <v>0</v>
      </c>
      <c r="AR134" s="5">
        <f t="shared" si="122"/>
        <v>0</v>
      </c>
      <c r="AS134" s="6" t="str">
        <f t="shared" si="123"/>
        <v/>
      </c>
    </row>
    <row r="135" spans="1:45" x14ac:dyDescent="0.2">
      <c r="A135" s="3" t="s">
        <v>143</v>
      </c>
      <c r="B135" s="4"/>
      <c r="C135" s="5">
        <f>7800</f>
        <v>7800</v>
      </c>
      <c r="D135" s="5">
        <f t="shared" si="94"/>
        <v>-7800</v>
      </c>
      <c r="E135" s="6">
        <f t="shared" si="95"/>
        <v>0</v>
      </c>
      <c r="F135" s="4"/>
      <c r="G135" s="4"/>
      <c r="H135" s="5">
        <f t="shared" si="96"/>
        <v>0</v>
      </c>
      <c r="I135" s="6" t="str">
        <f t="shared" si="97"/>
        <v/>
      </c>
      <c r="J135" s="5">
        <f t="shared" si="98"/>
        <v>0</v>
      </c>
      <c r="K135" s="5">
        <f t="shared" si="99"/>
        <v>7800</v>
      </c>
      <c r="L135" s="5">
        <f t="shared" si="100"/>
        <v>-7800</v>
      </c>
      <c r="M135" s="6">
        <f t="shared" si="101"/>
        <v>0</v>
      </c>
      <c r="N135" s="4"/>
      <c r="O135" s="4"/>
      <c r="P135" s="5">
        <f t="shared" si="102"/>
        <v>0</v>
      </c>
      <c r="Q135" s="6" t="str">
        <f t="shared" si="103"/>
        <v/>
      </c>
      <c r="R135" s="4"/>
      <c r="S135" s="4"/>
      <c r="T135" s="5">
        <f t="shared" si="104"/>
        <v>0</v>
      </c>
      <c r="U135" s="6" t="str">
        <f t="shared" si="105"/>
        <v/>
      </c>
      <c r="V135" s="5">
        <f t="shared" si="106"/>
        <v>0</v>
      </c>
      <c r="W135" s="5">
        <f t="shared" si="107"/>
        <v>0</v>
      </c>
      <c r="X135" s="5">
        <f t="shared" si="108"/>
        <v>0</v>
      </c>
      <c r="Y135" s="6" t="str">
        <f t="shared" si="109"/>
        <v/>
      </c>
      <c r="Z135" s="4"/>
      <c r="AA135" s="4"/>
      <c r="AB135" s="5">
        <f t="shared" si="110"/>
        <v>0</v>
      </c>
      <c r="AC135" s="6" t="str">
        <f t="shared" si="111"/>
        <v/>
      </c>
      <c r="AD135" s="4"/>
      <c r="AE135" s="4"/>
      <c r="AF135" s="5">
        <f t="shared" si="112"/>
        <v>0</v>
      </c>
      <c r="AG135" s="6" t="str">
        <f t="shared" si="113"/>
        <v/>
      </c>
      <c r="AH135" s="5">
        <f t="shared" si="114"/>
        <v>0</v>
      </c>
      <c r="AI135" s="5">
        <f t="shared" si="115"/>
        <v>0</v>
      </c>
      <c r="AJ135" s="5">
        <f t="shared" si="116"/>
        <v>0</v>
      </c>
      <c r="AK135" s="6" t="str">
        <f t="shared" si="117"/>
        <v/>
      </c>
      <c r="AL135" s="4"/>
      <c r="AM135" s="4"/>
      <c r="AN135" s="5">
        <f t="shared" si="118"/>
        <v>0</v>
      </c>
      <c r="AO135" s="6" t="str">
        <f t="shared" si="119"/>
        <v/>
      </c>
      <c r="AP135" s="5">
        <f t="shared" si="120"/>
        <v>0</v>
      </c>
      <c r="AQ135" s="5">
        <f t="shared" si="121"/>
        <v>7800</v>
      </c>
      <c r="AR135" s="5">
        <f t="shared" si="122"/>
        <v>-7800</v>
      </c>
      <c r="AS135" s="6">
        <f t="shared" si="123"/>
        <v>0</v>
      </c>
    </row>
    <row r="136" spans="1:45" x14ac:dyDescent="0.2">
      <c r="A136" s="3" t="s">
        <v>144</v>
      </c>
      <c r="B136" s="4"/>
      <c r="C136" s="5">
        <f>12550</f>
        <v>12550</v>
      </c>
      <c r="D136" s="5">
        <f t="shared" si="94"/>
        <v>-12550</v>
      </c>
      <c r="E136" s="6">
        <f t="shared" si="95"/>
        <v>0</v>
      </c>
      <c r="F136" s="4"/>
      <c r="G136" s="4"/>
      <c r="H136" s="5">
        <f t="shared" si="96"/>
        <v>0</v>
      </c>
      <c r="I136" s="6" t="str">
        <f t="shared" si="97"/>
        <v/>
      </c>
      <c r="J136" s="5">
        <f t="shared" si="98"/>
        <v>0</v>
      </c>
      <c r="K136" s="5">
        <f t="shared" si="99"/>
        <v>12550</v>
      </c>
      <c r="L136" s="5">
        <f t="shared" si="100"/>
        <v>-12550</v>
      </c>
      <c r="M136" s="6">
        <f t="shared" si="101"/>
        <v>0</v>
      </c>
      <c r="N136" s="4"/>
      <c r="O136" s="4"/>
      <c r="P136" s="5">
        <f t="shared" si="102"/>
        <v>0</v>
      </c>
      <c r="Q136" s="6" t="str">
        <f t="shared" si="103"/>
        <v/>
      </c>
      <c r="R136" s="4"/>
      <c r="S136" s="4"/>
      <c r="T136" s="5">
        <f t="shared" si="104"/>
        <v>0</v>
      </c>
      <c r="U136" s="6" t="str">
        <f t="shared" si="105"/>
        <v/>
      </c>
      <c r="V136" s="5">
        <f t="shared" si="106"/>
        <v>0</v>
      </c>
      <c r="W136" s="5">
        <f t="shared" si="107"/>
        <v>0</v>
      </c>
      <c r="X136" s="5">
        <f t="shared" si="108"/>
        <v>0</v>
      </c>
      <c r="Y136" s="6" t="str">
        <f t="shared" si="109"/>
        <v/>
      </c>
      <c r="Z136" s="4"/>
      <c r="AA136" s="4"/>
      <c r="AB136" s="5">
        <f t="shared" si="110"/>
        <v>0</v>
      </c>
      <c r="AC136" s="6" t="str">
        <f t="shared" si="111"/>
        <v/>
      </c>
      <c r="AD136" s="4"/>
      <c r="AE136" s="4"/>
      <c r="AF136" s="5">
        <f t="shared" si="112"/>
        <v>0</v>
      </c>
      <c r="AG136" s="6" t="str">
        <f t="shared" si="113"/>
        <v/>
      </c>
      <c r="AH136" s="5">
        <f t="shared" si="114"/>
        <v>0</v>
      </c>
      <c r="AI136" s="5">
        <f t="shared" si="115"/>
        <v>0</v>
      </c>
      <c r="AJ136" s="5">
        <f t="shared" si="116"/>
        <v>0</v>
      </c>
      <c r="AK136" s="6" t="str">
        <f t="shared" si="117"/>
        <v/>
      </c>
      <c r="AL136" s="4"/>
      <c r="AM136" s="4"/>
      <c r="AN136" s="5">
        <f t="shared" si="118"/>
        <v>0</v>
      </c>
      <c r="AO136" s="6" t="str">
        <f t="shared" si="119"/>
        <v/>
      </c>
      <c r="AP136" s="5">
        <f t="shared" si="120"/>
        <v>0</v>
      </c>
      <c r="AQ136" s="5">
        <f t="shared" si="121"/>
        <v>12550</v>
      </c>
      <c r="AR136" s="5">
        <f t="shared" si="122"/>
        <v>-12550</v>
      </c>
      <c r="AS136" s="6">
        <f t="shared" si="123"/>
        <v>0</v>
      </c>
    </row>
    <row r="137" spans="1:45" x14ac:dyDescent="0.2">
      <c r="A137" s="3" t="s">
        <v>145</v>
      </c>
      <c r="B137" s="4"/>
      <c r="C137" s="5">
        <f>7000</f>
        <v>7000</v>
      </c>
      <c r="D137" s="5">
        <f t="shared" si="94"/>
        <v>-7000</v>
      </c>
      <c r="E137" s="6">
        <f t="shared" si="95"/>
        <v>0</v>
      </c>
      <c r="F137" s="4"/>
      <c r="G137" s="4"/>
      <c r="H137" s="5">
        <f t="shared" si="96"/>
        <v>0</v>
      </c>
      <c r="I137" s="6" t="str">
        <f t="shared" si="97"/>
        <v/>
      </c>
      <c r="J137" s="5">
        <f t="shared" si="98"/>
        <v>0</v>
      </c>
      <c r="K137" s="5">
        <f t="shared" si="99"/>
        <v>7000</v>
      </c>
      <c r="L137" s="5">
        <f t="shared" si="100"/>
        <v>-7000</v>
      </c>
      <c r="M137" s="6">
        <f t="shared" si="101"/>
        <v>0</v>
      </c>
      <c r="N137" s="4"/>
      <c r="O137" s="4"/>
      <c r="P137" s="5">
        <f t="shared" si="102"/>
        <v>0</v>
      </c>
      <c r="Q137" s="6" t="str">
        <f t="shared" si="103"/>
        <v/>
      </c>
      <c r="R137" s="4"/>
      <c r="S137" s="4"/>
      <c r="T137" s="5">
        <f t="shared" si="104"/>
        <v>0</v>
      </c>
      <c r="U137" s="6" t="str">
        <f t="shared" si="105"/>
        <v/>
      </c>
      <c r="V137" s="5">
        <f t="shared" si="106"/>
        <v>0</v>
      </c>
      <c r="W137" s="5">
        <f t="shared" si="107"/>
        <v>0</v>
      </c>
      <c r="X137" s="5">
        <f t="shared" si="108"/>
        <v>0</v>
      </c>
      <c r="Y137" s="6" t="str">
        <f t="shared" si="109"/>
        <v/>
      </c>
      <c r="Z137" s="4"/>
      <c r="AA137" s="4"/>
      <c r="AB137" s="5">
        <f t="shared" si="110"/>
        <v>0</v>
      </c>
      <c r="AC137" s="6" t="str">
        <f t="shared" si="111"/>
        <v/>
      </c>
      <c r="AD137" s="4"/>
      <c r="AE137" s="4"/>
      <c r="AF137" s="5">
        <f t="shared" si="112"/>
        <v>0</v>
      </c>
      <c r="AG137" s="6" t="str">
        <f t="shared" si="113"/>
        <v/>
      </c>
      <c r="AH137" s="5">
        <f t="shared" si="114"/>
        <v>0</v>
      </c>
      <c r="AI137" s="5">
        <f t="shared" si="115"/>
        <v>0</v>
      </c>
      <c r="AJ137" s="5">
        <f t="shared" si="116"/>
        <v>0</v>
      </c>
      <c r="AK137" s="6" t="str">
        <f t="shared" si="117"/>
        <v/>
      </c>
      <c r="AL137" s="4"/>
      <c r="AM137" s="4"/>
      <c r="AN137" s="5">
        <f t="shared" si="118"/>
        <v>0</v>
      </c>
      <c r="AO137" s="6" t="str">
        <f t="shared" si="119"/>
        <v/>
      </c>
      <c r="AP137" s="5">
        <f t="shared" si="120"/>
        <v>0</v>
      </c>
      <c r="AQ137" s="5">
        <f t="shared" si="121"/>
        <v>7000</v>
      </c>
      <c r="AR137" s="5">
        <f t="shared" si="122"/>
        <v>-7000</v>
      </c>
      <c r="AS137" s="6">
        <f t="shared" si="123"/>
        <v>0</v>
      </c>
    </row>
    <row r="138" spans="1:45" x14ac:dyDescent="0.2">
      <c r="A138" s="3" t="s">
        <v>146</v>
      </c>
      <c r="B138" s="7">
        <f>(((B134)+(B135))+(B136))+(B137)</f>
        <v>0</v>
      </c>
      <c r="C138" s="7">
        <f>(((C134)+(C135))+(C136))+(C137)</f>
        <v>27350</v>
      </c>
      <c r="D138" s="7">
        <f t="shared" si="94"/>
        <v>-27350</v>
      </c>
      <c r="E138" s="8">
        <f t="shared" si="95"/>
        <v>0</v>
      </c>
      <c r="F138" s="7">
        <f>(((F134)+(F135))+(F136))+(F137)</f>
        <v>0</v>
      </c>
      <c r="G138" s="7">
        <f>(((G134)+(G135))+(G136))+(G137)</f>
        <v>0</v>
      </c>
      <c r="H138" s="7">
        <f t="shared" si="96"/>
        <v>0</v>
      </c>
      <c r="I138" s="8" t="str">
        <f t="shared" si="97"/>
        <v/>
      </c>
      <c r="J138" s="7">
        <f t="shared" si="98"/>
        <v>0</v>
      </c>
      <c r="K138" s="7">
        <f t="shared" si="99"/>
        <v>27350</v>
      </c>
      <c r="L138" s="7">
        <f t="shared" si="100"/>
        <v>-27350</v>
      </c>
      <c r="M138" s="8">
        <f t="shared" si="101"/>
        <v>0</v>
      </c>
      <c r="N138" s="7">
        <f>(((N134)+(N135))+(N136))+(N137)</f>
        <v>0</v>
      </c>
      <c r="O138" s="7">
        <f>(((O134)+(O135))+(O136))+(O137)</f>
        <v>0</v>
      </c>
      <c r="P138" s="7">
        <f t="shared" si="102"/>
        <v>0</v>
      </c>
      <c r="Q138" s="8" t="str">
        <f t="shared" si="103"/>
        <v/>
      </c>
      <c r="R138" s="7">
        <f>(((R134)+(R135))+(R136))+(R137)</f>
        <v>0</v>
      </c>
      <c r="S138" s="7">
        <f>(((S134)+(S135))+(S136))+(S137)</f>
        <v>0</v>
      </c>
      <c r="T138" s="7">
        <f t="shared" si="104"/>
        <v>0</v>
      </c>
      <c r="U138" s="8" t="str">
        <f t="shared" si="105"/>
        <v/>
      </c>
      <c r="V138" s="7">
        <f t="shared" si="106"/>
        <v>0</v>
      </c>
      <c r="W138" s="7">
        <f t="shared" si="107"/>
        <v>0</v>
      </c>
      <c r="X138" s="7">
        <f t="shared" si="108"/>
        <v>0</v>
      </c>
      <c r="Y138" s="8" t="str">
        <f t="shared" si="109"/>
        <v/>
      </c>
      <c r="Z138" s="7">
        <f>(((Z134)+(Z135))+(Z136))+(Z137)</f>
        <v>0</v>
      </c>
      <c r="AA138" s="7">
        <f>(((AA134)+(AA135))+(AA136))+(AA137)</f>
        <v>0</v>
      </c>
      <c r="AB138" s="7">
        <f t="shared" si="110"/>
        <v>0</v>
      </c>
      <c r="AC138" s="8" t="str">
        <f t="shared" si="111"/>
        <v/>
      </c>
      <c r="AD138" s="7">
        <f>(((AD134)+(AD135))+(AD136))+(AD137)</f>
        <v>0</v>
      </c>
      <c r="AE138" s="7">
        <f>(((AE134)+(AE135))+(AE136))+(AE137)</f>
        <v>0</v>
      </c>
      <c r="AF138" s="7">
        <f t="shared" si="112"/>
        <v>0</v>
      </c>
      <c r="AG138" s="8" t="str">
        <f t="shared" si="113"/>
        <v/>
      </c>
      <c r="AH138" s="7">
        <f t="shared" si="114"/>
        <v>0</v>
      </c>
      <c r="AI138" s="7">
        <f t="shared" si="115"/>
        <v>0</v>
      </c>
      <c r="AJ138" s="7">
        <f t="shared" si="116"/>
        <v>0</v>
      </c>
      <c r="AK138" s="8" t="str">
        <f t="shared" si="117"/>
        <v/>
      </c>
      <c r="AL138" s="7">
        <f>(((AL134)+(AL135))+(AL136))+(AL137)</f>
        <v>0</v>
      </c>
      <c r="AM138" s="7">
        <f>(((AM134)+(AM135))+(AM136))+(AM137)</f>
        <v>0</v>
      </c>
      <c r="AN138" s="7">
        <f t="shared" si="118"/>
        <v>0</v>
      </c>
      <c r="AO138" s="8" t="str">
        <f t="shared" si="119"/>
        <v/>
      </c>
      <c r="AP138" s="7">
        <f t="shared" si="120"/>
        <v>0</v>
      </c>
      <c r="AQ138" s="7">
        <f t="shared" si="121"/>
        <v>27350</v>
      </c>
      <c r="AR138" s="7">
        <f t="shared" si="122"/>
        <v>-27350</v>
      </c>
      <c r="AS138" s="8">
        <f t="shared" si="123"/>
        <v>0</v>
      </c>
    </row>
    <row r="139" spans="1:45" x14ac:dyDescent="0.2">
      <c r="A139" s="3" t="s">
        <v>147</v>
      </c>
      <c r="B139" s="4"/>
      <c r="C139" s="5">
        <f>503.3</f>
        <v>503.3</v>
      </c>
      <c r="D139" s="5">
        <f t="shared" si="94"/>
        <v>-503.3</v>
      </c>
      <c r="E139" s="6">
        <f t="shared" si="95"/>
        <v>0</v>
      </c>
      <c r="F139" s="4"/>
      <c r="G139" s="4"/>
      <c r="H139" s="5">
        <f t="shared" si="96"/>
        <v>0</v>
      </c>
      <c r="I139" s="6" t="str">
        <f t="shared" si="97"/>
        <v/>
      </c>
      <c r="J139" s="5">
        <f t="shared" si="98"/>
        <v>0</v>
      </c>
      <c r="K139" s="5">
        <f t="shared" si="99"/>
        <v>503.3</v>
      </c>
      <c r="L139" s="5">
        <f t="shared" si="100"/>
        <v>-503.3</v>
      </c>
      <c r="M139" s="6">
        <f t="shared" si="101"/>
        <v>0</v>
      </c>
      <c r="N139" s="4"/>
      <c r="O139" s="4"/>
      <c r="P139" s="5">
        <f t="shared" si="102"/>
        <v>0</v>
      </c>
      <c r="Q139" s="6" t="str">
        <f t="shared" si="103"/>
        <v/>
      </c>
      <c r="R139" s="4"/>
      <c r="S139" s="4"/>
      <c r="T139" s="5">
        <f t="shared" si="104"/>
        <v>0</v>
      </c>
      <c r="U139" s="6" t="str">
        <f t="shared" si="105"/>
        <v/>
      </c>
      <c r="V139" s="5">
        <f t="shared" si="106"/>
        <v>0</v>
      </c>
      <c r="W139" s="5">
        <f t="shared" si="107"/>
        <v>0</v>
      </c>
      <c r="X139" s="5">
        <f t="shared" si="108"/>
        <v>0</v>
      </c>
      <c r="Y139" s="6" t="str">
        <f t="shared" si="109"/>
        <v/>
      </c>
      <c r="Z139" s="4"/>
      <c r="AA139" s="4"/>
      <c r="AB139" s="5">
        <f t="shared" si="110"/>
        <v>0</v>
      </c>
      <c r="AC139" s="6" t="str">
        <f t="shared" si="111"/>
        <v/>
      </c>
      <c r="AD139" s="4"/>
      <c r="AE139" s="4"/>
      <c r="AF139" s="5">
        <f t="shared" si="112"/>
        <v>0</v>
      </c>
      <c r="AG139" s="6" t="str">
        <f t="shared" si="113"/>
        <v/>
      </c>
      <c r="AH139" s="5">
        <f t="shared" si="114"/>
        <v>0</v>
      </c>
      <c r="AI139" s="5">
        <f t="shared" si="115"/>
        <v>0</v>
      </c>
      <c r="AJ139" s="5">
        <f t="shared" si="116"/>
        <v>0</v>
      </c>
      <c r="AK139" s="6" t="str">
        <f t="shared" si="117"/>
        <v/>
      </c>
      <c r="AL139" s="4"/>
      <c r="AM139" s="4"/>
      <c r="AN139" s="5">
        <f t="shared" si="118"/>
        <v>0</v>
      </c>
      <c r="AO139" s="6" t="str">
        <f t="shared" si="119"/>
        <v/>
      </c>
      <c r="AP139" s="5">
        <f t="shared" si="120"/>
        <v>0</v>
      </c>
      <c r="AQ139" s="5">
        <f t="shared" si="121"/>
        <v>503.3</v>
      </c>
      <c r="AR139" s="5">
        <f t="shared" si="122"/>
        <v>-503.3</v>
      </c>
      <c r="AS139" s="6">
        <f t="shared" si="123"/>
        <v>0</v>
      </c>
    </row>
    <row r="140" spans="1:45" x14ac:dyDescent="0.2">
      <c r="A140" s="3" t="s">
        <v>148</v>
      </c>
      <c r="B140" s="5">
        <f>468.95</f>
        <v>468.95</v>
      </c>
      <c r="C140" s="5">
        <f>400</f>
        <v>400</v>
      </c>
      <c r="D140" s="5">
        <f t="shared" si="94"/>
        <v>68.949999999999989</v>
      </c>
      <c r="E140" s="6">
        <f t="shared" si="95"/>
        <v>1.1723749999999999</v>
      </c>
      <c r="F140" s="4"/>
      <c r="G140" s="4"/>
      <c r="H140" s="5">
        <f t="shared" si="96"/>
        <v>0</v>
      </c>
      <c r="I140" s="6" t="str">
        <f t="shared" si="97"/>
        <v/>
      </c>
      <c r="J140" s="5">
        <f t="shared" si="98"/>
        <v>468.95</v>
      </c>
      <c r="K140" s="5">
        <f t="shared" si="99"/>
        <v>400</v>
      </c>
      <c r="L140" s="5">
        <f t="shared" si="100"/>
        <v>68.949999999999989</v>
      </c>
      <c r="M140" s="6">
        <f t="shared" si="101"/>
        <v>1.1723749999999999</v>
      </c>
      <c r="N140" s="4"/>
      <c r="O140" s="4"/>
      <c r="P140" s="5">
        <f t="shared" si="102"/>
        <v>0</v>
      </c>
      <c r="Q140" s="6" t="str">
        <f t="shared" si="103"/>
        <v/>
      </c>
      <c r="R140" s="4"/>
      <c r="S140" s="4"/>
      <c r="T140" s="5">
        <f t="shared" si="104"/>
        <v>0</v>
      </c>
      <c r="U140" s="6" t="str">
        <f t="shared" si="105"/>
        <v/>
      </c>
      <c r="V140" s="5">
        <f t="shared" si="106"/>
        <v>0</v>
      </c>
      <c r="W140" s="5">
        <f t="shared" si="107"/>
        <v>0</v>
      </c>
      <c r="X140" s="5">
        <f t="shared" si="108"/>
        <v>0</v>
      </c>
      <c r="Y140" s="6" t="str">
        <f t="shared" si="109"/>
        <v/>
      </c>
      <c r="Z140" s="4"/>
      <c r="AA140" s="4"/>
      <c r="AB140" s="5">
        <f t="shared" si="110"/>
        <v>0</v>
      </c>
      <c r="AC140" s="6" t="str">
        <f t="shared" si="111"/>
        <v/>
      </c>
      <c r="AD140" s="4"/>
      <c r="AE140" s="4"/>
      <c r="AF140" s="5">
        <f t="shared" si="112"/>
        <v>0</v>
      </c>
      <c r="AG140" s="6" t="str">
        <f t="shared" si="113"/>
        <v/>
      </c>
      <c r="AH140" s="5">
        <f t="shared" si="114"/>
        <v>0</v>
      </c>
      <c r="AI140" s="5">
        <f t="shared" si="115"/>
        <v>0</v>
      </c>
      <c r="AJ140" s="5">
        <f t="shared" si="116"/>
        <v>0</v>
      </c>
      <c r="AK140" s="6" t="str">
        <f t="shared" si="117"/>
        <v/>
      </c>
      <c r="AL140" s="4"/>
      <c r="AM140" s="4"/>
      <c r="AN140" s="5">
        <f t="shared" si="118"/>
        <v>0</v>
      </c>
      <c r="AO140" s="6" t="str">
        <f t="shared" si="119"/>
        <v/>
      </c>
      <c r="AP140" s="5">
        <f t="shared" si="120"/>
        <v>468.95</v>
      </c>
      <c r="AQ140" s="5">
        <f t="shared" si="121"/>
        <v>400</v>
      </c>
      <c r="AR140" s="5">
        <f t="shared" si="122"/>
        <v>68.949999999999989</v>
      </c>
      <c r="AS140" s="6">
        <f t="shared" si="123"/>
        <v>1.1723749999999999</v>
      </c>
    </row>
    <row r="141" spans="1:45" x14ac:dyDescent="0.2">
      <c r="A141" s="3" t="s">
        <v>149</v>
      </c>
      <c r="B141" s="7">
        <f>((((((((((((B124)+(B125))+(B126))+(B127))+(B128))+(B129))+(B130))+(B131))+(B132))+(B133))+(B138))+(B139))+(B140)</f>
        <v>51408.54</v>
      </c>
      <c r="C141" s="7">
        <f>((((((((((((C124)+(C125))+(C126))+(C127))+(C128))+(C129))+(C130))+(C131))+(C132))+(C133))+(C138))+(C139))+(C140)</f>
        <v>119353.3</v>
      </c>
      <c r="D141" s="7">
        <f t="shared" si="94"/>
        <v>-67944.760000000009</v>
      </c>
      <c r="E141" s="8">
        <f t="shared" si="95"/>
        <v>0.43072575286984105</v>
      </c>
      <c r="F141" s="7">
        <f>((((((((((((F124)+(F125))+(F126))+(F127))+(F128))+(F129))+(F130))+(F131))+(F132))+(F133))+(F138))+(F139))+(F140)</f>
        <v>2267.4300000000003</v>
      </c>
      <c r="G141" s="7">
        <f>((((((((((((G124)+(G125))+(G126))+(G127))+(G128))+(G129))+(G130))+(G131))+(G132))+(G133))+(G138))+(G139))+(G140)</f>
        <v>0</v>
      </c>
      <c r="H141" s="7">
        <f t="shared" si="96"/>
        <v>2267.4300000000003</v>
      </c>
      <c r="I141" s="8" t="str">
        <f t="shared" si="97"/>
        <v/>
      </c>
      <c r="J141" s="7">
        <f t="shared" si="98"/>
        <v>53675.97</v>
      </c>
      <c r="K141" s="7">
        <f t="shared" si="99"/>
        <v>119353.3</v>
      </c>
      <c r="L141" s="7">
        <f t="shared" si="100"/>
        <v>-65677.33</v>
      </c>
      <c r="M141" s="8">
        <f t="shared" si="101"/>
        <v>0.44972338427173775</v>
      </c>
      <c r="N141" s="7">
        <f>((((((((((((N124)+(N125))+(N126))+(N127))+(N128))+(N129))+(N130))+(N131))+(N132))+(N133))+(N138))+(N139))+(N140)</f>
        <v>30451.350000000002</v>
      </c>
      <c r="O141" s="7">
        <f>((((((((((((O124)+(O125))+(O126))+(O127))+(O128))+(O129))+(O130))+(O131))+(O132))+(O133))+(O138))+(O139))+(O140)</f>
        <v>65000</v>
      </c>
      <c r="P141" s="7">
        <f t="shared" si="102"/>
        <v>-34548.649999999994</v>
      </c>
      <c r="Q141" s="8">
        <f t="shared" si="103"/>
        <v>0.46848230769230775</v>
      </c>
      <c r="R141" s="7">
        <f>((((((((((((R124)+(R125))+(R126))+(R127))+(R128))+(R129))+(R130))+(R131))+(R132))+(R133))+(R138))+(R139))+(R140)</f>
        <v>0</v>
      </c>
      <c r="S141" s="7">
        <f>((((((((((((S124)+(S125))+(S126))+(S127))+(S128))+(S129))+(S130))+(S131))+(S132))+(S133))+(S138))+(S139))+(S140)</f>
        <v>0</v>
      </c>
      <c r="T141" s="7">
        <f t="shared" si="104"/>
        <v>0</v>
      </c>
      <c r="U141" s="8" t="str">
        <f t="shared" si="105"/>
        <v/>
      </c>
      <c r="V141" s="7">
        <f t="shared" si="106"/>
        <v>30451.350000000002</v>
      </c>
      <c r="W141" s="7">
        <f t="shared" si="107"/>
        <v>65000</v>
      </c>
      <c r="X141" s="7">
        <f t="shared" si="108"/>
        <v>-34548.649999999994</v>
      </c>
      <c r="Y141" s="8">
        <f t="shared" si="109"/>
        <v>0.46848230769230775</v>
      </c>
      <c r="Z141" s="7">
        <f>((((((((((((Z124)+(Z125))+(Z126))+(Z127))+(Z128))+(Z129))+(Z130))+(Z131))+(Z132))+(Z133))+(Z138))+(Z139))+(Z140)</f>
        <v>4552.91</v>
      </c>
      <c r="AA141" s="7">
        <f>((((((((((((AA124)+(AA125))+(AA126))+(AA127))+(AA128))+(AA129))+(AA130))+(AA131))+(AA132))+(AA133))+(AA138))+(AA139))+(AA140)</f>
        <v>7050</v>
      </c>
      <c r="AB141" s="7">
        <f t="shared" si="110"/>
        <v>-2497.09</v>
      </c>
      <c r="AC141" s="8">
        <f t="shared" si="111"/>
        <v>0.64580283687943263</v>
      </c>
      <c r="AD141" s="7">
        <f>((((((((((((AD124)+(AD125))+(AD126))+(AD127))+(AD128))+(AD129))+(AD130))+(AD131))+(AD132))+(AD133))+(AD138))+(AD139))+(AD140)</f>
        <v>9207</v>
      </c>
      <c r="AE141" s="7">
        <f>((((((((((((AE124)+(AE125))+(AE126))+(AE127))+(AE128))+(AE129))+(AE130))+(AE131))+(AE132))+(AE133))+(AE138))+(AE139))+(AE140)</f>
        <v>0</v>
      </c>
      <c r="AF141" s="7">
        <f t="shared" si="112"/>
        <v>9207</v>
      </c>
      <c r="AG141" s="8" t="str">
        <f t="shared" si="113"/>
        <v/>
      </c>
      <c r="AH141" s="7">
        <f t="shared" si="114"/>
        <v>13759.91</v>
      </c>
      <c r="AI141" s="7">
        <f t="shared" si="115"/>
        <v>7050</v>
      </c>
      <c r="AJ141" s="7">
        <f t="shared" si="116"/>
        <v>6709.91</v>
      </c>
      <c r="AK141" s="8">
        <f t="shared" si="117"/>
        <v>1.9517602836879433</v>
      </c>
      <c r="AL141" s="7">
        <f>((((((((((((AL124)+(AL125))+(AL126))+(AL127))+(AL128))+(AL129))+(AL130))+(AL131))+(AL132))+(AL133))+(AL138))+(AL139))+(AL140)</f>
        <v>0</v>
      </c>
      <c r="AM141" s="7">
        <f>((((((((((((AM124)+(AM125))+(AM126))+(AM127))+(AM128))+(AM129))+(AM130))+(AM131))+(AM132))+(AM133))+(AM138))+(AM139))+(AM140)</f>
        <v>0</v>
      </c>
      <c r="AN141" s="7">
        <f t="shared" si="118"/>
        <v>0</v>
      </c>
      <c r="AO141" s="8" t="str">
        <f t="shared" si="119"/>
        <v/>
      </c>
      <c r="AP141" s="7">
        <f t="shared" si="120"/>
        <v>97887.23000000001</v>
      </c>
      <c r="AQ141" s="7">
        <f t="shared" si="121"/>
        <v>191403.3</v>
      </c>
      <c r="AR141" s="7">
        <f t="shared" si="122"/>
        <v>-93516.069999999978</v>
      </c>
      <c r="AS141" s="8">
        <f t="shared" si="123"/>
        <v>0.51141871639621683</v>
      </c>
    </row>
    <row r="142" spans="1:45" x14ac:dyDescent="0.2">
      <c r="A142" s="3" t="s">
        <v>150</v>
      </c>
      <c r="B142" s="4"/>
      <c r="C142" s="5">
        <f>150</f>
        <v>150</v>
      </c>
      <c r="D142" s="5">
        <f t="shared" si="94"/>
        <v>-150</v>
      </c>
      <c r="E142" s="6">
        <f t="shared" si="95"/>
        <v>0</v>
      </c>
      <c r="F142" s="4"/>
      <c r="G142" s="4"/>
      <c r="H142" s="5">
        <f t="shared" si="96"/>
        <v>0</v>
      </c>
      <c r="I142" s="6" t="str">
        <f t="shared" si="97"/>
        <v/>
      </c>
      <c r="J142" s="5">
        <f t="shared" si="98"/>
        <v>0</v>
      </c>
      <c r="K142" s="5">
        <f t="shared" si="99"/>
        <v>150</v>
      </c>
      <c r="L142" s="5">
        <f t="shared" si="100"/>
        <v>-150</v>
      </c>
      <c r="M142" s="6">
        <f t="shared" si="101"/>
        <v>0</v>
      </c>
      <c r="N142" s="4"/>
      <c r="O142" s="4"/>
      <c r="P142" s="5">
        <f t="shared" si="102"/>
        <v>0</v>
      </c>
      <c r="Q142" s="6" t="str">
        <f t="shared" si="103"/>
        <v/>
      </c>
      <c r="R142" s="4"/>
      <c r="S142" s="4"/>
      <c r="T142" s="5">
        <f t="shared" si="104"/>
        <v>0</v>
      </c>
      <c r="U142" s="6" t="str">
        <f t="shared" si="105"/>
        <v/>
      </c>
      <c r="V142" s="5">
        <f t="shared" si="106"/>
        <v>0</v>
      </c>
      <c r="W142" s="5">
        <f t="shared" si="107"/>
        <v>0</v>
      </c>
      <c r="X142" s="5">
        <f t="shared" si="108"/>
        <v>0</v>
      </c>
      <c r="Y142" s="6" t="str">
        <f t="shared" si="109"/>
        <v/>
      </c>
      <c r="Z142" s="4"/>
      <c r="AA142" s="4"/>
      <c r="AB142" s="5">
        <f t="shared" si="110"/>
        <v>0</v>
      </c>
      <c r="AC142" s="6" t="str">
        <f t="shared" si="111"/>
        <v/>
      </c>
      <c r="AD142" s="4"/>
      <c r="AE142" s="4"/>
      <c r="AF142" s="5">
        <f t="shared" si="112"/>
        <v>0</v>
      </c>
      <c r="AG142" s="6" t="str">
        <f t="shared" si="113"/>
        <v/>
      </c>
      <c r="AH142" s="5">
        <f t="shared" si="114"/>
        <v>0</v>
      </c>
      <c r="AI142" s="5">
        <f t="shared" si="115"/>
        <v>0</v>
      </c>
      <c r="AJ142" s="5">
        <f t="shared" si="116"/>
        <v>0</v>
      </c>
      <c r="AK142" s="6" t="str">
        <f t="shared" si="117"/>
        <v/>
      </c>
      <c r="AL142" s="4"/>
      <c r="AM142" s="4"/>
      <c r="AN142" s="5">
        <f t="shared" si="118"/>
        <v>0</v>
      </c>
      <c r="AO142" s="6" t="str">
        <f t="shared" si="119"/>
        <v/>
      </c>
      <c r="AP142" s="5">
        <f t="shared" si="120"/>
        <v>0</v>
      </c>
      <c r="AQ142" s="5">
        <f t="shared" si="121"/>
        <v>150</v>
      </c>
      <c r="AR142" s="5">
        <f t="shared" si="122"/>
        <v>-150</v>
      </c>
      <c r="AS142" s="6">
        <f t="shared" si="123"/>
        <v>0</v>
      </c>
    </row>
    <row r="143" spans="1:45" x14ac:dyDescent="0.2">
      <c r="A143" s="3" t="s">
        <v>151</v>
      </c>
      <c r="B143" s="5">
        <f>1055.88</f>
        <v>1055.8800000000001</v>
      </c>
      <c r="C143" s="4"/>
      <c r="D143" s="5">
        <f t="shared" si="94"/>
        <v>1055.8800000000001</v>
      </c>
      <c r="E143" s="6" t="str">
        <f t="shared" si="95"/>
        <v/>
      </c>
      <c r="F143" s="5">
        <f>11.52</f>
        <v>11.52</v>
      </c>
      <c r="G143" s="4"/>
      <c r="H143" s="5">
        <f t="shared" si="96"/>
        <v>11.52</v>
      </c>
      <c r="I143" s="6" t="str">
        <f t="shared" si="97"/>
        <v/>
      </c>
      <c r="J143" s="5">
        <f t="shared" si="98"/>
        <v>1067.4000000000001</v>
      </c>
      <c r="K143" s="5">
        <f t="shared" si="99"/>
        <v>0</v>
      </c>
      <c r="L143" s="5">
        <f t="shared" si="100"/>
        <v>1067.4000000000001</v>
      </c>
      <c r="M143" s="6" t="str">
        <f t="shared" si="101"/>
        <v/>
      </c>
      <c r="N143" s="5">
        <f>1531.74</f>
        <v>1531.74</v>
      </c>
      <c r="O143" s="5">
        <f>600</f>
        <v>600</v>
      </c>
      <c r="P143" s="5">
        <f t="shared" si="102"/>
        <v>931.74</v>
      </c>
      <c r="Q143" s="6">
        <f t="shared" si="103"/>
        <v>2.5529000000000002</v>
      </c>
      <c r="R143" s="5">
        <f>11.2</f>
        <v>11.2</v>
      </c>
      <c r="S143" s="4"/>
      <c r="T143" s="5">
        <f t="shared" si="104"/>
        <v>11.2</v>
      </c>
      <c r="U143" s="6" t="str">
        <f t="shared" si="105"/>
        <v/>
      </c>
      <c r="V143" s="5">
        <f t="shared" si="106"/>
        <v>1542.94</v>
      </c>
      <c r="W143" s="5">
        <f t="shared" si="107"/>
        <v>600</v>
      </c>
      <c r="X143" s="5">
        <f t="shared" si="108"/>
        <v>942.94</v>
      </c>
      <c r="Y143" s="6">
        <f t="shared" si="109"/>
        <v>2.5715666666666666</v>
      </c>
      <c r="Z143" s="5">
        <f>1531.73</f>
        <v>1531.73</v>
      </c>
      <c r="AA143" s="5">
        <f>600</f>
        <v>600</v>
      </c>
      <c r="AB143" s="5">
        <f t="shared" si="110"/>
        <v>931.73</v>
      </c>
      <c r="AC143" s="6">
        <f t="shared" si="111"/>
        <v>2.5528833333333334</v>
      </c>
      <c r="AD143" s="5">
        <f>11.18</f>
        <v>11.18</v>
      </c>
      <c r="AE143" s="4"/>
      <c r="AF143" s="5">
        <f t="shared" si="112"/>
        <v>11.18</v>
      </c>
      <c r="AG143" s="6" t="str">
        <f t="shared" si="113"/>
        <v/>
      </c>
      <c r="AH143" s="5">
        <f t="shared" si="114"/>
        <v>1542.91</v>
      </c>
      <c r="AI143" s="5">
        <f t="shared" si="115"/>
        <v>600</v>
      </c>
      <c r="AJ143" s="5">
        <f t="shared" si="116"/>
        <v>942.91000000000008</v>
      </c>
      <c r="AK143" s="6">
        <f t="shared" si="117"/>
        <v>2.5715166666666667</v>
      </c>
      <c r="AL143" s="5">
        <f>0</f>
        <v>0</v>
      </c>
      <c r="AM143" s="4"/>
      <c r="AN143" s="5">
        <f t="shared" si="118"/>
        <v>0</v>
      </c>
      <c r="AO143" s="6" t="str">
        <f t="shared" si="119"/>
        <v/>
      </c>
      <c r="AP143" s="5">
        <f t="shared" si="120"/>
        <v>4153.25</v>
      </c>
      <c r="AQ143" s="5">
        <f t="shared" si="121"/>
        <v>1200</v>
      </c>
      <c r="AR143" s="5">
        <f t="shared" si="122"/>
        <v>2953.25</v>
      </c>
      <c r="AS143" s="6">
        <f t="shared" si="123"/>
        <v>3.4610416666666666</v>
      </c>
    </row>
    <row r="144" spans="1:45" x14ac:dyDescent="0.2">
      <c r="A144" s="3" t="s">
        <v>152</v>
      </c>
      <c r="B144" s="5">
        <f>109.33</f>
        <v>109.33</v>
      </c>
      <c r="C144" s="4"/>
      <c r="D144" s="5">
        <f t="shared" si="94"/>
        <v>109.33</v>
      </c>
      <c r="E144" s="6" t="str">
        <f t="shared" si="95"/>
        <v/>
      </c>
      <c r="F144" s="4"/>
      <c r="G144" s="4"/>
      <c r="H144" s="5">
        <f t="shared" si="96"/>
        <v>0</v>
      </c>
      <c r="I144" s="6" t="str">
        <f t="shared" si="97"/>
        <v/>
      </c>
      <c r="J144" s="5">
        <f t="shared" si="98"/>
        <v>109.33</v>
      </c>
      <c r="K144" s="5">
        <f t="shared" si="99"/>
        <v>0</v>
      </c>
      <c r="L144" s="5">
        <f t="shared" si="100"/>
        <v>109.33</v>
      </c>
      <c r="M144" s="6" t="str">
        <f t="shared" si="101"/>
        <v/>
      </c>
      <c r="N144" s="5">
        <f>11030.31</f>
        <v>11030.31</v>
      </c>
      <c r="O144" s="5">
        <f>23500</f>
        <v>23500</v>
      </c>
      <c r="P144" s="5">
        <f t="shared" si="102"/>
        <v>-12469.69</v>
      </c>
      <c r="Q144" s="6">
        <f t="shared" si="103"/>
        <v>0.46937489361702128</v>
      </c>
      <c r="R144" s="5">
        <f>2042</f>
        <v>2042</v>
      </c>
      <c r="S144" s="4"/>
      <c r="T144" s="5">
        <f t="shared" si="104"/>
        <v>2042</v>
      </c>
      <c r="U144" s="6" t="str">
        <f t="shared" si="105"/>
        <v/>
      </c>
      <c r="V144" s="5">
        <f t="shared" si="106"/>
        <v>13072.31</v>
      </c>
      <c r="W144" s="5">
        <f t="shared" si="107"/>
        <v>23500</v>
      </c>
      <c r="X144" s="5">
        <f t="shared" si="108"/>
        <v>-10427.69</v>
      </c>
      <c r="Y144" s="6">
        <f t="shared" si="109"/>
        <v>0.55626851063829785</v>
      </c>
      <c r="Z144" s="5">
        <f>4341.78</f>
        <v>4341.78</v>
      </c>
      <c r="AA144" s="5">
        <f>5000</f>
        <v>5000</v>
      </c>
      <c r="AB144" s="5">
        <f t="shared" si="110"/>
        <v>-658.22000000000025</v>
      </c>
      <c r="AC144" s="6">
        <f t="shared" si="111"/>
        <v>0.86835599999999991</v>
      </c>
      <c r="AD144" s="4"/>
      <c r="AE144" s="4"/>
      <c r="AF144" s="5">
        <f t="shared" si="112"/>
        <v>0</v>
      </c>
      <c r="AG144" s="6" t="str">
        <f t="shared" si="113"/>
        <v/>
      </c>
      <c r="AH144" s="5">
        <f t="shared" si="114"/>
        <v>4341.78</v>
      </c>
      <c r="AI144" s="5">
        <f t="shared" si="115"/>
        <v>5000</v>
      </c>
      <c r="AJ144" s="5">
        <f t="shared" si="116"/>
        <v>-658.22000000000025</v>
      </c>
      <c r="AK144" s="6">
        <f t="shared" si="117"/>
        <v>0.86835599999999991</v>
      </c>
      <c r="AL144" s="4"/>
      <c r="AM144" s="4"/>
      <c r="AN144" s="5">
        <f t="shared" si="118"/>
        <v>0</v>
      </c>
      <c r="AO144" s="6" t="str">
        <f t="shared" si="119"/>
        <v/>
      </c>
      <c r="AP144" s="5">
        <f t="shared" si="120"/>
        <v>17523.419999999998</v>
      </c>
      <c r="AQ144" s="5">
        <f t="shared" si="121"/>
        <v>28500</v>
      </c>
      <c r="AR144" s="5">
        <f t="shared" si="122"/>
        <v>-10976.580000000002</v>
      </c>
      <c r="AS144" s="6">
        <f t="shared" si="123"/>
        <v>0.61485684210526315</v>
      </c>
    </row>
    <row r="145" spans="1:45" x14ac:dyDescent="0.2">
      <c r="A145" s="3" t="s">
        <v>153</v>
      </c>
      <c r="B145" s="5">
        <f>7334.12</f>
        <v>7334.12</v>
      </c>
      <c r="C145" s="5">
        <f>8225</f>
        <v>8225</v>
      </c>
      <c r="D145" s="5">
        <f t="shared" si="94"/>
        <v>-890.88000000000011</v>
      </c>
      <c r="E145" s="6">
        <f t="shared" si="95"/>
        <v>0.89168632218844979</v>
      </c>
      <c r="F145" s="4"/>
      <c r="G145" s="4"/>
      <c r="H145" s="5">
        <f t="shared" si="96"/>
        <v>0</v>
      </c>
      <c r="I145" s="6" t="str">
        <f t="shared" si="97"/>
        <v/>
      </c>
      <c r="J145" s="5">
        <f t="shared" si="98"/>
        <v>7334.12</v>
      </c>
      <c r="K145" s="5">
        <f t="shared" si="99"/>
        <v>8225</v>
      </c>
      <c r="L145" s="5">
        <f t="shared" si="100"/>
        <v>-890.88000000000011</v>
      </c>
      <c r="M145" s="6">
        <f t="shared" si="101"/>
        <v>0.89168632218844979</v>
      </c>
      <c r="N145" s="4"/>
      <c r="O145" s="4"/>
      <c r="P145" s="5">
        <f t="shared" si="102"/>
        <v>0</v>
      </c>
      <c r="Q145" s="6" t="str">
        <f t="shared" si="103"/>
        <v/>
      </c>
      <c r="R145" s="4"/>
      <c r="S145" s="4"/>
      <c r="T145" s="5">
        <f t="shared" si="104"/>
        <v>0</v>
      </c>
      <c r="U145" s="6" t="str">
        <f t="shared" si="105"/>
        <v/>
      </c>
      <c r="V145" s="5">
        <f t="shared" si="106"/>
        <v>0</v>
      </c>
      <c r="W145" s="5">
        <f t="shared" si="107"/>
        <v>0</v>
      </c>
      <c r="X145" s="5">
        <f t="shared" si="108"/>
        <v>0</v>
      </c>
      <c r="Y145" s="6" t="str">
        <f t="shared" si="109"/>
        <v/>
      </c>
      <c r="Z145" s="4"/>
      <c r="AA145" s="4"/>
      <c r="AB145" s="5">
        <f t="shared" si="110"/>
        <v>0</v>
      </c>
      <c r="AC145" s="6" t="str">
        <f t="shared" si="111"/>
        <v/>
      </c>
      <c r="AD145" s="4"/>
      <c r="AE145" s="4"/>
      <c r="AF145" s="5">
        <f t="shared" si="112"/>
        <v>0</v>
      </c>
      <c r="AG145" s="6" t="str">
        <f t="shared" si="113"/>
        <v/>
      </c>
      <c r="AH145" s="5">
        <f t="shared" si="114"/>
        <v>0</v>
      </c>
      <c r="AI145" s="5">
        <f t="shared" si="115"/>
        <v>0</v>
      </c>
      <c r="AJ145" s="5">
        <f t="shared" si="116"/>
        <v>0</v>
      </c>
      <c r="AK145" s="6" t="str">
        <f t="shared" si="117"/>
        <v/>
      </c>
      <c r="AL145" s="4"/>
      <c r="AM145" s="4"/>
      <c r="AN145" s="5">
        <f t="shared" si="118"/>
        <v>0</v>
      </c>
      <c r="AO145" s="6" t="str">
        <f t="shared" si="119"/>
        <v/>
      </c>
      <c r="AP145" s="5">
        <f t="shared" si="120"/>
        <v>7334.12</v>
      </c>
      <c r="AQ145" s="5">
        <f t="shared" si="121"/>
        <v>8225</v>
      </c>
      <c r="AR145" s="5">
        <f t="shared" si="122"/>
        <v>-890.88000000000011</v>
      </c>
      <c r="AS145" s="6">
        <f t="shared" si="123"/>
        <v>0.89168632218844979</v>
      </c>
    </row>
    <row r="146" spans="1:45" x14ac:dyDescent="0.2">
      <c r="A146" s="3" t="s">
        <v>154</v>
      </c>
      <c r="B146" s="4"/>
      <c r="C146" s="4"/>
      <c r="D146" s="5">
        <f t="shared" si="94"/>
        <v>0</v>
      </c>
      <c r="E146" s="6" t="str">
        <f t="shared" si="95"/>
        <v/>
      </c>
      <c r="F146" s="4"/>
      <c r="G146" s="4"/>
      <c r="H146" s="5">
        <f t="shared" si="96"/>
        <v>0</v>
      </c>
      <c r="I146" s="6" t="str">
        <f t="shared" si="97"/>
        <v/>
      </c>
      <c r="J146" s="5">
        <f t="shared" si="98"/>
        <v>0</v>
      </c>
      <c r="K146" s="5">
        <f t="shared" si="99"/>
        <v>0</v>
      </c>
      <c r="L146" s="5">
        <f t="shared" si="100"/>
        <v>0</v>
      </c>
      <c r="M146" s="6" t="str">
        <f t="shared" si="101"/>
        <v/>
      </c>
      <c r="N146" s="4"/>
      <c r="O146" s="4"/>
      <c r="P146" s="5">
        <f t="shared" si="102"/>
        <v>0</v>
      </c>
      <c r="Q146" s="6" t="str">
        <f t="shared" si="103"/>
        <v/>
      </c>
      <c r="R146" s="4"/>
      <c r="S146" s="4"/>
      <c r="T146" s="5">
        <f t="shared" si="104"/>
        <v>0</v>
      </c>
      <c r="U146" s="6" t="str">
        <f t="shared" si="105"/>
        <v/>
      </c>
      <c r="V146" s="5">
        <f t="shared" si="106"/>
        <v>0</v>
      </c>
      <c r="W146" s="5">
        <f t="shared" si="107"/>
        <v>0</v>
      </c>
      <c r="X146" s="5">
        <f t="shared" si="108"/>
        <v>0</v>
      </c>
      <c r="Y146" s="6" t="str">
        <f t="shared" si="109"/>
        <v/>
      </c>
      <c r="Z146" s="4"/>
      <c r="AA146" s="4"/>
      <c r="AB146" s="5">
        <f t="shared" si="110"/>
        <v>0</v>
      </c>
      <c r="AC146" s="6" t="str">
        <f t="shared" si="111"/>
        <v/>
      </c>
      <c r="AD146" s="4"/>
      <c r="AE146" s="4"/>
      <c r="AF146" s="5">
        <f t="shared" si="112"/>
        <v>0</v>
      </c>
      <c r="AG146" s="6" t="str">
        <f t="shared" si="113"/>
        <v/>
      </c>
      <c r="AH146" s="5">
        <f t="shared" si="114"/>
        <v>0</v>
      </c>
      <c r="AI146" s="5">
        <f t="shared" si="115"/>
        <v>0</v>
      </c>
      <c r="AJ146" s="5">
        <f t="shared" si="116"/>
        <v>0</v>
      </c>
      <c r="AK146" s="6" t="str">
        <f t="shared" si="117"/>
        <v/>
      </c>
      <c r="AL146" s="4"/>
      <c r="AM146" s="4"/>
      <c r="AN146" s="5">
        <f t="shared" si="118"/>
        <v>0</v>
      </c>
      <c r="AO146" s="6" t="str">
        <f t="shared" si="119"/>
        <v/>
      </c>
      <c r="AP146" s="5">
        <f t="shared" si="120"/>
        <v>0</v>
      </c>
      <c r="AQ146" s="5">
        <f t="shared" si="121"/>
        <v>0</v>
      </c>
      <c r="AR146" s="5">
        <f t="shared" si="122"/>
        <v>0</v>
      </c>
      <c r="AS146" s="6" t="str">
        <f t="shared" si="123"/>
        <v/>
      </c>
    </row>
    <row r="147" spans="1:45" x14ac:dyDescent="0.2">
      <c r="A147" s="3" t="s">
        <v>155</v>
      </c>
      <c r="B147" s="5">
        <f>75</f>
        <v>75</v>
      </c>
      <c r="C147" s="5">
        <f>500</f>
        <v>500</v>
      </c>
      <c r="D147" s="5">
        <f t="shared" si="94"/>
        <v>-425</v>
      </c>
      <c r="E147" s="6">
        <f t="shared" si="95"/>
        <v>0.15</v>
      </c>
      <c r="F147" s="4"/>
      <c r="G147" s="4"/>
      <c r="H147" s="5">
        <f t="shared" si="96"/>
        <v>0</v>
      </c>
      <c r="I147" s="6" t="str">
        <f t="shared" si="97"/>
        <v/>
      </c>
      <c r="J147" s="5">
        <f t="shared" si="98"/>
        <v>75</v>
      </c>
      <c r="K147" s="5">
        <f t="shared" si="99"/>
        <v>500</v>
      </c>
      <c r="L147" s="5">
        <f t="shared" si="100"/>
        <v>-425</v>
      </c>
      <c r="M147" s="6">
        <f t="shared" si="101"/>
        <v>0.15</v>
      </c>
      <c r="N147" s="4"/>
      <c r="O147" s="4"/>
      <c r="P147" s="5">
        <f t="shared" si="102"/>
        <v>0</v>
      </c>
      <c r="Q147" s="6" t="str">
        <f t="shared" si="103"/>
        <v/>
      </c>
      <c r="R147" s="4"/>
      <c r="S147" s="4"/>
      <c r="T147" s="5">
        <f t="shared" si="104"/>
        <v>0</v>
      </c>
      <c r="U147" s="6" t="str">
        <f t="shared" si="105"/>
        <v/>
      </c>
      <c r="V147" s="5">
        <f t="shared" si="106"/>
        <v>0</v>
      </c>
      <c r="W147" s="5">
        <f t="shared" si="107"/>
        <v>0</v>
      </c>
      <c r="X147" s="5">
        <f t="shared" si="108"/>
        <v>0</v>
      </c>
      <c r="Y147" s="6" t="str">
        <f t="shared" si="109"/>
        <v/>
      </c>
      <c r="Z147" s="4"/>
      <c r="AA147" s="4"/>
      <c r="AB147" s="5">
        <f t="shared" si="110"/>
        <v>0</v>
      </c>
      <c r="AC147" s="6" t="str">
        <f t="shared" si="111"/>
        <v/>
      </c>
      <c r="AD147" s="4"/>
      <c r="AE147" s="4"/>
      <c r="AF147" s="5">
        <f t="shared" si="112"/>
        <v>0</v>
      </c>
      <c r="AG147" s="6" t="str">
        <f t="shared" si="113"/>
        <v/>
      </c>
      <c r="AH147" s="5">
        <f t="shared" si="114"/>
        <v>0</v>
      </c>
      <c r="AI147" s="5">
        <f t="shared" si="115"/>
        <v>0</v>
      </c>
      <c r="AJ147" s="5">
        <f t="shared" si="116"/>
        <v>0</v>
      </c>
      <c r="AK147" s="6" t="str">
        <f t="shared" si="117"/>
        <v/>
      </c>
      <c r="AL147" s="4"/>
      <c r="AM147" s="4"/>
      <c r="AN147" s="5">
        <f t="shared" si="118"/>
        <v>0</v>
      </c>
      <c r="AO147" s="6" t="str">
        <f t="shared" si="119"/>
        <v/>
      </c>
      <c r="AP147" s="5">
        <f t="shared" si="120"/>
        <v>75</v>
      </c>
      <c r="AQ147" s="5">
        <f t="shared" si="121"/>
        <v>500</v>
      </c>
      <c r="AR147" s="5">
        <f t="shared" si="122"/>
        <v>-425</v>
      </c>
      <c r="AS147" s="6">
        <f t="shared" si="123"/>
        <v>0.15</v>
      </c>
    </row>
    <row r="148" spans="1:45" x14ac:dyDescent="0.2">
      <c r="A148" s="3" t="s">
        <v>156</v>
      </c>
      <c r="B148" s="7">
        <f>(B146)+(B147)</f>
        <v>75</v>
      </c>
      <c r="C148" s="7">
        <f>(C146)+(C147)</f>
        <v>500</v>
      </c>
      <c r="D148" s="7">
        <f t="shared" si="94"/>
        <v>-425</v>
      </c>
      <c r="E148" s="8">
        <f t="shared" si="95"/>
        <v>0.15</v>
      </c>
      <c r="F148" s="7">
        <f>(F146)+(F147)</f>
        <v>0</v>
      </c>
      <c r="G148" s="7">
        <f>(G146)+(G147)</f>
        <v>0</v>
      </c>
      <c r="H148" s="7">
        <f t="shared" si="96"/>
        <v>0</v>
      </c>
      <c r="I148" s="8" t="str">
        <f t="shared" si="97"/>
        <v/>
      </c>
      <c r="J148" s="7">
        <f t="shared" si="98"/>
        <v>75</v>
      </c>
      <c r="K148" s="7">
        <f t="shared" si="99"/>
        <v>500</v>
      </c>
      <c r="L148" s="7">
        <f t="shared" si="100"/>
        <v>-425</v>
      </c>
      <c r="M148" s="8">
        <f t="shared" si="101"/>
        <v>0.15</v>
      </c>
      <c r="N148" s="7">
        <f>(N146)+(N147)</f>
        <v>0</v>
      </c>
      <c r="O148" s="7">
        <f>(O146)+(O147)</f>
        <v>0</v>
      </c>
      <c r="P148" s="7">
        <f t="shared" si="102"/>
        <v>0</v>
      </c>
      <c r="Q148" s="8" t="str">
        <f t="shared" si="103"/>
        <v/>
      </c>
      <c r="R148" s="7">
        <f>(R146)+(R147)</f>
        <v>0</v>
      </c>
      <c r="S148" s="7">
        <f>(S146)+(S147)</f>
        <v>0</v>
      </c>
      <c r="T148" s="7">
        <f t="shared" si="104"/>
        <v>0</v>
      </c>
      <c r="U148" s="8" t="str">
        <f t="shared" si="105"/>
        <v/>
      </c>
      <c r="V148" s="7">
        <f t="shared" si="106"/>
        <v>0</v>
      </c>
      <c r="W148" s="7">
        <f t="shared" si="107"/>
        <v>0</v>
      </c>
      <c r="X148" s="7">
        <f t="shared" si="108"/>
        <v>0</v>
      </c>
      <c r="Y148" s="8" t="str">
        <f t="shared" si="109"/>
        <v/>
      </c>
      <c r="Z148" s="7">
        <f>(Z146)+(Z147)</f>
        <v>0</v>
      </c>
      <c r="AA148" s="7">
        <f>(AA146)+(AA147)</f>
        <v>0</v>
      </c>
      <c r="AB148" s="7">
        <f t="shared" si="110"/>
        <v>0</v>
      </c>
      <c r="AC148" s="8" t="str">
        <f t="shared" si="111"/>
        <v/>
      </c>
      <c r="AD148" s="7">
        <f>(AD146)+(AD147)</f>
        <v>0</v>
      </c>
      <c r="AE148" s="7">
        <f>(AE146)+(AE147)</f>
        <v>0</v>
      </c>
      <c r="AF148" s="7">
        <f t="shared" si="112"/>
        <v>0</v>
      </c>
      <c r="AG148" s="8" t="str">
        <f t="shared" si="113"/>
        <v/>
      </c>
      <c r="AH148" s="7">
        <f t="shared" si="114"/>
        <v>0</v>
      </c>
      <c r="AI148" s="7">
        <f t="shared" si="115"/>
        <v>0</v>
      </c>
      <c r="AJ148" s="7">
        <f t="shared" si="116"/>
        <v>0</v>
      </c>
      <c r="AK148" s="8" t="str">
        <f t="shared" si="117"/>
        <v/>
      </c>
      <c r="AL148" s="7">
        <f>(AL146)+(AL147)</f>
        <v>0</v>
      </c>
      <c r="AM148" s="7">
        <f>(AM146)+(AM147)</f>
        <v>0</v>
      </c>
      <c r="AN148" s="7">
        <f t="shared" si="118"/>
        <v>0</v>
      </c>
      <c r="AO148" s="8" t="str">
        <f t="shared" si="119"/>
        <v/>
      </c>
      <c r="AP148" s="7">
        <f t="shared" si="120"/>
        <v>75</v>
      </c>
      <c r="AQ148" s="7">
        <f t="shared" si="121"/>
        <v>500</v>
      </c>
      <c r="AR148" s="7">
        <f t="shared" si="122"/>
        <v>-425</v>
      </c>
      <c r="AS148" s="8">
        <f t="shared" si="123"/>
        <v>0.15</v>
      </c>
    </row>
    <row r="149" spans="1:45" x14ac:dyDescent="0.2">
      <c r="A149" s="3" t="s">
        <v>157</v>
      </c>
      <c r="B149" s="4"/>
      <c r="C149" s="4"/>
      <c r="D149" s="5">
        <f t="shared" si="94"/>
        <v>0</v>
      </c>
      <c r="E149" s="6" t="str">
        <f t="shared" si="95"/>
        <v/>
      </c>
      <c r="F149" s="4"/>
      <c r="G149" s="4"/>
      <c r="H149" s="5">
        <f t="shared" si="96"/>
        <v>0</v>
      </c>
      <c r="I149" s="6" t="str">
        <f t="shared" si="97"/>
        <v/>
      </c>
      <c r="J149" s="5">
        <f t="shared" si="98"/>
        <v>0</v>
      </c>
      <c r="K149" s="5">
        <f t="shared" si="99"/>
        <v>0</v>
      </c>
      <c r="L149" s="5">
        <f t="shared" si="100"/>
        <v>0</v>
      </c>
      <c r="M149" s="6" t="str">
        <f t="shared" si="101"/>
        <v/>
      </c>
      <c r="N149" s="4"/>
      <c r="O149" s="4"/>
      <c r="P149" s="5">
        <f t="shared" si="102"/>
        <v>0</v>
      </c>
      <c r="Q149" s="6" t="str">
        <f t="shared" si="103"/>
        <v/>
      </c>
      <c r="R149" s="4"/>
      <c r="S149" s="4"/>
      <c r="T149" s="5">
        <f t="shared" si="104"/>
        <v>0</v>
      </c>
      <c r="U149" s="6" t="str">
        <f t="shared" si="105"/>
        <v/>
      </c>
      <c r="V149" s="5">
        <f t="shared" si="106"/>
        <v>0</v>
      </c>
      <c r="W149" s="5">
        <f t="shared" si="107"/>
        <v>0</v>
      </c>
      <c r="X149" s="5">
        <f t="shared" si="108"/>
        <v>0</v>
      </c>
      <c r="Y149" s="6" t="str">
        <f t="shared" si="109"/>
        <v/>
      </c>
      <c r="Z149" s="4"/>
      <c r="AA149" s="4"/>
      <c r="AB149" s="5">
        <f t="shared" si="110"/>
        <v>0</v>
      </c>
      <c r="AC149" s="6" t="str">
        <f t="shared" si="111"/>
        <v/>
      </c>
      <c r="AD149" s="4"/>
      <c r="AE149" s="4"/>
      <c r="AF149" s="5">
        <f t="shared" si="112"/>
        <v>0</v>
      </c>
      <c r="AG149" s="6" t="str">
        <f t="shared" si="113"/>
        <v/>
      </c>
      <c r="AH149" s="5">
        <f t="shared" si="114"/>
        <v>0</v>
      </c>
      <c r="AI149" s="5">
        <f t="shared" si="115"/>
        <v>0</v>
      </c>
      <c r="AJ149" s="5">
        <f t="shared" si="116"/>
        <v>0</v>
      </c>
      <c r="AK149" s="6" t="str">
        <f t="shared" si="117"/>
        <v/>
      </c>
      <c r="AL149" s="4"/>
      <c r="AM149" s="4"/>
      <c r="AN149" s="5">
        <f t="shared" si="118"/>
        <v>0</v>
      </c>
      <c r="AO149" s="6" t="str">
        <f t="shared" si="119"/>
        <v/>
      </c>
      <c r="AP149" s="5">
        <f t="shared" si="120"/>
        <v>0</v>
      </c>
      <c r="AQ149" s="5">
        <f t="shared" si="121"/>
        <v>0</v>
      </c>
      <c r="AR149" s="5">
        <f t="shared" si="122"/>
        <v>0</v>
      </c>
      <c r="AS149" s="6" t="str">
        <f t="shared" si="123"/>
        <v/>
      </c>
    </row>
    <row r="150" spans="1:45" x14ac:dyDescent="0.2">
      <c r="A150" s="3" t="s">
        <v>158</v>
      </c>
      <c r="B150" s="5">
        <f>918.21</f>
        <v>918.21</v>
      </c>
      <c r="C150" s="5">
        <f>750</f>
        <v>750</v>
      </c>
      <c r="D150" s="5">
        <f t="shared" si="94"/>
        <v>168.21000000000004</v>
      </c>
      <c r="E150" s="6">
        <f t="shared" si="95"/>
        <v>1.22428</v>
      </c>
      <c r="F150" s="4"/>
      <c r="G150" s="4"/>
      <c r="H150" s="5">
        <f t="shared" si="96"/>
        <v>0</v>
      </c>
      <c r="I150" s="6" t="str">
        <f t="shared" si="97"/>
        <v/>
      </c>
      <c r="J150" s="5">
        <f t="shared" si="98"/>
        <v>918.21</v>
      </c>
      <c r="K150" s="5">
        <f t="shared" si="99"/>
        <v>750</v>
      </c>
      <c r="L150" s="5">
        <f t="shared" si="100"/>
        <v>168.21000000000004</v>
      </c>
      <c r="M150" s="6">
        <f t="shared" si="101"/>
        <v>1.22428</v>
      </c>
      <c r="N150" s="4"/>
      <c r="O150" s="4"/>
      <c r="P150" s="5">
        <f t="shared" si="102"/>
        <v>0</v>
      </c>
      <c r="Q150" s="6" t="str">
        <f t="shared" si="103"/>
        <v/>
      </c>
      <c r="R150" s="4"/>
      <c r="S150" s="4"/>
      <c r="T150" s="5">
        <f t="shared" si="104"/>
        <v>0</v>
      </c>
      <c r="U150" s="6" t="str">
        <f t="shared" si="105"/>
        <v/>
      </c>
      <c r="V150" s="5">
        <f t="shared" si="106"/>
        <v>0</v>
      </c>
      <c r="W150" s="5">
        <f t="shared" si="107"/>
        <v>0</v>
      </c>
      <c r="X150" s="5">
        <f t="shared" si="108"/>
        <v>0</v>
      </c>
      <c r="Y150" s="6" t="str">
        <f t="shared" si="109"/>
        <v/>
      </c>
      <c r="Z150" s="4"/>
      <c r="AA150" s="4"/>
      <c r="AB150" s="5">
        <f t="shared" si="110"/>
        <v>0</v>
      </c>
      <c r="AC150" s="6" t="str">
        <f t="shared" si="111"/>
        <v/>
      </c>
      <c r="AD150" s="4"/>
      <c r="AE150" s="4"/>
      <c r="AF150" s="5">
        <f t="shared" si="112"/>
        <v>0</v>
      </c>
      <c r="AG150" s="6" t="str">
        <f t="shared" si="113"/>
        <v/>
      </c>
      <c r="AH150" s="5">
        <f t="shared" si="114"/>
        <v>0</v>
      </c>
      <c r="AI150" s="5">
        <f t="shared" si="115"/>
        <v>0</v>
      </c>
      <c r="AJ150" s="5">
        <f t="shared" si="116"/>
        <v>0</v>
      </c>
      <c r="AK150" s="6" t="str">
        <f t="shared" si="117"/>
        <v/>
      </c>
      <c r="AL150" s="4"/>
      <c r="AM150" s="4"/>
      <c r="AN150" s="5">
        <f t="shared" si="118"/>
        <v>0</v>
      </c>
      <c r="AO150" s="6" t="str">
        <f t="shared" si="119"/>
        <v/>
      </c>
      <c r="AP150" s="5">
        <f t="shared" si="120"/>
        <v>918.21</v>
      </c>
      <c r="AQ150" s="5">
        <f t="shared" si="121"/>
        <v>750</v>
      </c>
      <c r="AR150" s="5">
        <f t="shared" si="122"/>
        <v>168.21000000000004</v>
      </c>
      <c r="AS150" s="6">
        <f t="shared" si="123"/>
        <v>1.22428</v>
      </c>
    </row>
    <row r="151" spans="1:45" x14ac:dyDescent="0.2">
      <c r="A151" s="3" t="s">
        <v>159</v>
      </c>
      <c r="B151" s="5">
        <f>554.92</f>
        <v>554.91999999999996</v>
      </c>
      <c r="C151" s="5">
        <f>750</f>
        <v>750</v>
      </c>
      <c r="D151" s="5">
        <f t="shared" si="94"/>
        <v>-195.08000000000004</v>
      </c>
      <c r="E151" s="6">
        <f t="shared" si="95"/>
        <v>0.73989333333333329</v>
      </c>
      <c r="F151" s="4"/>
      <c r="G151" s="4"/>
      <c r="H151" s="5">
        <f t="shared" si="96"/>
        <v>0</v>
      </c>
      <c r="I151" s="6" t="str">
        <f t="shared" si="97"/>
        <v/>
      </c>
      <c r="J151" s="5">
        <f t="shared" si="98"/>
        <v>554.91999999999996</v>
      </c>
      <c r="K151" s="5">
        <f t="shared" si="99"/>
        <v>750</v>
      </c>
      <c r="L151" s="5">
        <f t="shared" si="100"/>
        <v>-195.08000000000004</v>
      </c>
      <c r="M151" s="6">
        <f t="shared" si="101"/>
        <v>0.73989333333333329</v>
      </c>
      <c r="N151" s="4"/>
      <c r="O151" s="4"/>
      <c r="P151" s="5">
        <f t="shared" si="102"/>
        <v>0</v>
      </c>
      <c r="Q151" s="6" t="str">
        <f t="shared" si="103"/>
        <v/>
      </c>
      <c r="R151" s="4"/>
      <c r="S151" s="4"/>
      <c r="T151" s="5">
        <f t="shared" si="104"/>
        <v>0</v>
      </c>
      <c r="U151" s="6" t="str">
        <f t="shared" si="105"/>
        <v/>
      </c>
      <c r="V151" s="5">
        <f t="shared" si="106"/>
        <v>0</v>
      </c>
      <c r="W151" s="5">
        <f t="shared" si="107"/>
        <v>0</v>
      </c>
      <c r="X151" s="5">
        <f t="shared" si="108"/>
        <v>0</v>
      </c>
      <c r="Y151" s="6" t="str">
        <f t="shared" si="109"/>
        <v/>
      </c>
      <c r="Z151" s="4"/>
      <c r="AA151" s="4"/>
      <c r="AB151" s="5">
        <f t="shared" si="110"/>
        <v>0</v>
      </c>
      <c r="AC151" s="6" t="str">
        <f t="shared" si="111"/>
        <v/>
      </c>
      <c r="AD151" s="4"/>
      <c r="AE151" s="4"/>
      <c r="AF151" s="5">
        <f t="shared" si="112"/>
        <v>0</v>
      </c>
      <c r="AG151" s="6" t="str">
        <f t="shared" si="113"/>
        <v/>
      </c>
      <c r="AH151" s="5">
        <f t="shared" si="114"/>
        <v>0</v>
      </c>
      <c r="AI151" s="5">
        <f t="shared" si="115"/>
        <v>0</v>
      </c>
      <c r="AJ151" s="5">
        <f t="shared" si="116"/>
        <v>0</v>
      </c>
      <c r="AK151" s="6" t="str">
        <f t="shared" si="117"/>
        <v/>
      </c>
      <c r="AL151" s="4"/>
      <c r="AM151" s="4"/>
      <c r="AN151" s="5">
        <f t="shared" si="118"/>
        <v>0</v>
      </c>
      <c r="AO151" s="6" t="str">
        <f t="shared" si="119"/>
        <v/>
      </c>
      <c r="AP151" s="5">
        <f t="shared" si="120"/>
        <v>554.91999999999996</v>
      </c>
      <c r="AQ151" s="5">
        <f t="shared" si="121"/>
        <v>750</v>
      </c>
      <c r="AR151" s="5">
        <f t="shared" si="122"/>
        <v>-195.08000000000004</v>
      </c>
      <c r="AS151" s="6">
        <f t="shared" si="123"/>
        <v>0.73989333333333329</v>
      </c>
    </row>
    <row r="152" spans="1:45" ht="25" x14ac:dyDescent="0.2">
      <c r="A152" s="3" t="s">
        <v>160</v>
      </c>
      <c r="B152" s="7">
        <f>((B149)+(B150))+(B151)</f>
        <v>1473.13</v>
      </c>
      <c r="C152" s="7">
        <f>((C149)+(C150))+(C151)</f>
        <v>1500</v>
      </c>
      <c r="D152" s="7">
        <f t="shared" si="94"/>
        <v>-26.869999999999891</v>
      </c>
      <c r="E152" s="8">
        <f t="shared" si="95"/>
        <v>0.98208666666666677</v>
      </c>
      <c r="F152" s="7">
        <f>((F149)+(F150))+(F151)</f>
        <v>0</v>
      </c>
      <c r="G152" s="7">
        <f>((G149)+(G150))+(G151)</f>
        <v>0</v>
      </c>
      <c r="H152" s="7">
        <f t="shared" si="96"/>
        <v>0</v>
      </c>
      <c r="I152" s="8" t="str">
        <f t="shared" si="97"/>
        <v/>
      </c>
      <c r="J152" s="7">
        <f t="shared" si="98"/>
        <v>1473.13</v>
      </c>
      <c r="K152" s="7">
        <f t="shared" si="99"/>
        <v>1500</v>
      </c>
      <c r="L152" s="7">
        <f t="shared" si="100"/>
        <v>-26.869999999999891</v>
      </c>
      <c r="M152" s="8">
        <f t="shared" si="101"/>
        <v>0.98208666666666677</v>
      </c>
      <c r="N152" s="7">
        <f>((N149)+(N150))+(N151)</f>
        <v>0</v>
      </c>
      <c r="O152" s="7">
        <f>((O149)+(O150))+(O151)</f>
        <v>0</v>
      </c>
      <c r="P152" s="7">
        <f t="shared" si="102"/>
        <v>0</v>
      </c>
      <c r="Q152" s="8" t="str">
        <f t="shared" si="103"/>
        <v/>
      </c>
      <c r="R152" s="7">
        <f>((R149)+(R150))+(R151)</f>
        <v>0</v>
      </c>
      <c r="S152" s="7">
        <f>((S149)+(S150))+(S151)</f>
        <v>0</v>
      </c>
      <c r="T152" s="7">
        <f t="shared" si="104"/>
        <v>0</v>
      </c>
      <c r="U152" s="8" t="str">
        <f t="shared" si="105"/>
        <v/>
      </c>
      <c r="V152" s="7">
        <f t="shared" si="106"/>
        <v>0</v>
      </c>
      <c r="W152" s="7">
        <f t="shared" si="107"/>
        <v>0</v>
      </c>
      <c r="X152" s="7">
        <f t="shared" si="108"/>
        <v>0</v>
      </c>
      <c r="Y152" s="8" t="str">
        <f t="shared" si="109"/>
        <v/>
      </c>
      <c r="Z152" s="7">
        <f>((Z149)+(Z150))+(Z151)</f>
        <v>0</v>
      </c>
      <c r="AA152" s="7">
        <f>((AA149)+(AA150))+(AA151)</f>
        <v>0</v>
      </c>
      <c r="AB152" s="7">
        <f t="shared" si="110"/>
        <v>0</v>
      </c>
      <c r="AC152" s="8" t="str">
        <f t="shared" si="111"/>
        <v/>
      </c>
      <c r="AD152" s="7">
        <f>((AD149)+(AD150))+(AD151)</f>
        <v>0</v>
      </c>
      <c r="AE152" s="7">
        <f>((AE149)+(AE150))+(AE151)</f>
        <v>0</v>
      </c>
      <c r="AF152" s="7">
        <f t="shared" si="112"/>
        <v>0</v>
      </c>
      <c r="AG152" s="8" t="str">
        <f t="shared" si="113"/>
        <v/>
      </c>
      <c r="AH152" s="7">
        <f t="shared" si="114"/>
        <v>0</v>
      </c>
      <c r="AI152" s="7">
        <f t="shared" si="115"/>
        <v>0</v>
      </c>
      <c r="AJ152" s="7">
        <f t="shared" si="116"/>
        <v>0</v>
      </c>
      <c r="AK152" s="8" t="str">
        <f t="shared" si="117"/>
        <v/>
      </c>
      <c r="AL152" s="7">
        <f>((AL149)+(AL150))+(AL151)</f>
        <v>0</v>
      </c>
      <c r="AM152" s="7">
        <f>((AM149)+(AM150))+(AM151)</f>
        <v>0</v>
      </c>
      <c r="AN152" s="7">
        <f t="shared" si="118"/>
        <v>0</v>
      </c>
      <c r="AO152" s="8" t="str">
        <f t="shared" si="119"/>
        <v/>
      </c>
      <c r="AP152" s="7">
        <f t="shared" si="120"/>
        <v>1473.13</v>
      </c>
      <c r="AQ152" s="7">
        <f t="shared" si="121"/>
        <v>1500</v>
      </c>
      <c r="AR152" s="7">
        <f t="shared" si="122"/>
        <v>-26.869999999999891</v>
      </c>
      <c r="AS152" s="8">
        <f t="shared" si="123"/>
        <v>0.98208666666666677</v>
      </c>
    </row>
    <row r="153" spans="1:45" x14ac:dyDescent="0.2">
      <c r="A153" s="3" t="s">
        <v>161</v>
      </c>
      <c r="B153" s="4"/>
      <c r="C153" s="4"/>
      <c r="D153" s="5">
        <f t="shared" si="94"/>
        <v>0</v>
      </c>
      <c r="E153" s="6" t="str">
        <f t="shared" si="95"/>
        <v/>
      </c>
      <c r="F153" s="4"/>
      <c r="G153" s="4"/>
      <c r="H153" s="5">
        <f t="shared" si="96"/>
        <v>0</v>
      </c>
      <c r="I153" s="6" t="str">
        <f t="shared" si="97"/>
        <v/>
      </c>
      <c r="J153" s="5">
        <f t="shared" si="98"/>
        <v>0</v>
      </c>
      <c r="K153" s="5">
        <f t="shared" si="99"/>
        <v>0</v>
      </c>
      <c r="L153" s="5">
        <f t="shared" si="100"/>
        <v>0</v>
      </c>
      <c r="M153" s="6" t="str">
        <f t="shared" si="101"/>
        <v/>
      </c>
      <c r="N153" s="4"/>
      <c r="O153" s="4"/>
      <c r="P153" s="5">
        <f t="shared" si="102"/>
        <v>0</v>
      </c>
      <c r="Q153" s="6" t="str">
        <f t="shared" si="103"/>
        <v/>
      </c>
      <c r="R153" s="4"/>
      <c r="S153" s="4"/>
      <c r="T153" s="5">
        <f t="shared" si="104"/>
        <v>0</v>
      </c>
      <c r="U153" s="6" t="str">
        <f t="shared" si="105"/>
        <v/>
      </c>
      <c r="V153" s="5">
        <f t="shared" si="106"/>
        <v>0</v>
      </c>
      <c r="W153" s="5">
        <f t="shared" si="107"/>
        <v>0</v>
      </c>
      <c r="X153" s="5">
        <f t="shared" si="108"/>
        <v>0</v>
      </c>
      <c r="Y153" s="6" t="str">
        <f t="shared" si="109"/>
        <v/>
      </c>
      <c r="Z153" s="4"/>
      <c r="AA153" s="4"/>
      <c r="AB153" s="5">
        <f t="shared" si="110"/>
        <v>0</v>
      </c>
      <c r="AC153" s="6" t="str">
        <f t="shared" si="111"/>
        <v/>
      </c>
      <c r="AD153" s="4"/>
      <c r="AE153" s="4"/>
      <c r="AF153" s="5">
        <f t="shared" si="112"/>
        <v>0</v>
      </c>
      <c r="AG153" s="6" t="str">
        <f t="shared" si="113"/>
        <v/>
      </c>
      <c r="AH153" s="5">
        <f t="shared" si="114"/>
        <v>0</v>
      </c>
      <c r="AI153" s="5">
        <f t="shared" si="115"/>
        <v>0</v>
      </c>
      <c r="AJ153" s="5">
        <f t="shared" si="116"/>
        <v>0</v>
      </c>
      <c r="AK153" s="6" t="str">
        <f t="shared" si="117"/>
        <v/>
      </c>
      <c r="AL153" s="4"/>
      <c r="AM153" s="4"/>
      <c r="AN153" s="5">
        <f t="shared" si="118"/>
        <v>0</v>
      </c>
      <c r="AO153" s="6" t="str">
        <f t="shared" si="119"/>
        <v/>
      </c>
      <c r="AP153" s="5">
        <f t="shared" si="120"/>
        <v>0</v>
      </c>
      <c r="AQ153" s="5">
        <f t="shared" si="121"/>
        <v>0</v>
      </c>
      <c r="AR153" s="5">
        <f t="shared" si="122"/>
        <v>0</v>
      </c>
      <c r="AS153" s="6" t="str">
        <f t="shared" si="123"/>
        <v/>
      </c>
    </row>
    <row r="154" spans="1:45" x14ac:dyDescent="0.2">
      <c r="A154" s="3" t="s">
        <v>162</v>
      </c>
      <c r="B154" s="5">
        <f>4047.24</f>
        <v>4047.24</v>
      </c>
      <c r="C154" s="5">
        <f>1281</f>
        <v>1281</v>
      </c>
      <c r="D154" s="5">
        <f t="shared" si="94"/>
        <v>2766.24</v>
      </c>
      <c r="E154" s="6">
        <f t="shared" si="95"/>
        <v>3.1594379391100702</v>
      </c>
      <c r="F154" s="5">
        <f>372.02</f>
        <v>372.02</v>
      </c>
      <c r="G154" s="4"/>
      <c r="H154" s="5">
        <f t="shared" si="96"/>
        <v>372.02</v>
      </c>
      <c r="I154" s="6" t="str">
        <f t="shared" si="97"/>
        <v/>
      </c>
      <c r="J154" s="5">
        <f t="shared" si="98"/>
        <v>4419.26</v>
      </c>
      <c r="K154" s="5">
        <f t="shared" si="99"/>
        <v>1281</v>
      </c>
      <c r="L154" s="5">
        <f t="shared" si="100"/>
        <v>3138.26</v>
      </c>
      <c r="M154" s="6">
        <f t="shared" si="101"/>
        <v>3.4498516783762687</v>
      </c>
      <c r="N154" s="5">
        <f>4377.44</f>
        <v>4377.4399999999996</v>
      </c>
      <c r="O154" s="5">
        <f>3900</f>
        <v>3900</v>
      </c>
      <c r="P154" s="5">
        <f t="shared" si="102"/>
        <v>477.4399999999996</v>
      </c>
      <c r="Q154" s="6">
        <f t="shared" si="103"/>
        <v>1.1224205128205127</v>
      </c>
      <c r="R154" s="4"/>
      <c r="S154" s="4"/>
      <c r="T154" s="5">
        <f t="shared" si="104"/>
        <v>0</v>
      </c>
      <c r="U154" s="6" t="str">
        <f t="shared" si="105"/>
        <v/>
      </c>
      <c r="V154" s="5">
        <f t="shared" si="106"/>
        <v>4377.4399999999996</v>
      </c>
      <c r="W154" s="5">
        <f t="shared" si="107"/>
        <v>3900</v>
      </c>
      <c r="X154" s="5">
        <f t="shared" si="108"/>
        <v>477.4399999999996</v>
      </c>
      <c r="Y154" s="6">
        <f t="shared" si="109"/>
        <v>1.1224205128205127</v>
      </c>
      <c r="Z154" s="5">
        <f>2911.93</f>
        <v>2911.93</v>
      </c>
      <c r="AA154" s="5">
        <f>2500</f>
        <v>2500</v>
      </c>
      <c r="AB154" s="5">
        <f t="shared" si="110"/>
        <v>411.92999999999984</v>
      </c>
      <c r="AC154" s="6">
        <f t="shared" si="111"/>
        <v>1.1647719999999999</v>
      </c>
      <c r="AD154" s="4"/>
      <c r="AE154" s="4"/>
      <c r="AF154" s="5">
        <f t="shared" si="112"/>
        <v>0</v>
      </c>
      <c r="AG154" s="6" t="str">
        <f t="shared" si="113"/>
        <v/>
      </c>
      <c r="AH154" s="5">
        <f t="shared" si="114"/>
        <v>2911.93</v>
      </c>
      <c r="AI154" s="5">
        <f t="shared" si="115"/>
        <v>2500</v>
      </c>
      <c r="AJ154" s="5">
        <f t="shared" si="116"/>
        <v>411.92999999999984</v>
      </c>
      <c r="AK154" s="6">
        <f t="shared" si="117"/>
        <v>1.1647719999999999</v>
      </c>
      <c r="AL154" s="5">
        <f>0</f>
        <v>0</v>
      </c>
      <c r="AM154" s="4"/>
      <c r="AN154" s="5">
        <f t="shared" si="118"/>
        <v>0</v>
      </c>
      <c r="AO154" s="6" t="str">
        <f t="shared" si="119"/>
        <v/>
      </c>
      <c r="AP154" s="5">
        <f t="shared" si="120"/>
        <v>11708.630000000001</v>
      </c>
      <c r="AQ154" s="5">
        <f t="shared" si="121"/>
        <v>7681</v>
      </c>
      <c r="AR154" s="5">
        <f t="shared" si="122"/>
        <v>4027.630000000001</v>
      </c>
      <c r="AS154" s="6">
        <f t="shared" si="123"/>
        <v>1.524362713188387</v>
      </c>
    </row>
    <row r="155" spans="1:45" x14ac:dyDescent="0.2">
      <c r="A155" s="3" t="s">
        <v>163</v>
      </c>
      <c r="B155" s="5">
        <f>416.84</f>
        <v>416.84</v>
      </c>
      <c r="C155" s="5">
        <f>1000</f>
        <v>1000</v>
      </c>
      <c r="D155" s="5">
        <f t="shared" ref="D155:D180" si="124">(B155)-(C155)</f>
        <v>-583.16000000000008</v>
      </c>
      <c r="E155" s="6">
        <f t="shared" ref="E155:E180" si="125">IF(C155=0,"",(B155)/(C155))</f>
        <v>0.41683999999999999</v>
      </c>
      <c r="F155" s="4"/>
      <c r="G155" s="4"/>
      <c r="H155" s="5">
        <f t="shared" ref="H155:H180" si="126">(F155)-(G155)</f>
        <v>0</v>
      </c>
      <c r="I155" s="6" t="str">
        <f t="shared" ref="I155:I180" si="127">IF(G155=0,"",(F155)/(G155))</f>
        <v/>
      </c>
      <c r="J155" s="5">
        <f t="shared" ref="J155:J180" si="128">(B155)+(F155)</f>
        <v>416.84</v>
      </c>
      <c r="K155" s="5">
        <f t="shared" ref="K155:K180" si="129">(C155)+(G155)</f>
        <v>1000</v>
      </c>
      <c r="L155" s="5">
        <f t="shared" ref="L155:L180" si="130">(J155)-(K155)</f>
        <v>-583.16000000000008</v>
      </c>
      <c r="M155" s="6">
        <f t="shared" ref="M155:M180" si="131">IF(K155=0,"",(J155)/(K155))</f>
        <v>0.41683999999999999</v>
      </c>
      <c r="N155" s="5">
        <f>404.58</f>
        <v>404.58</v>
      </c>
      <c r="O155" s="4"/>
      <c r="P155" s="5">
        <f t="shared" ref="P155:P180" si="132">(N155)-(O155)</f>
        <v>404.58</v>
      </c>
      <c r="Q155" s="6" t="str">
        <f t="shared" ref="Q155:Q180" si="133">IF(O155=0,"",(N155)/(O155))</f>
        <v/>
      </c>
      <c r="R155" s="4"/>
      <c r="S155" s="4"/>
      <c r="T155" s="5">
        <f t="shared" ref="T155:T180" si="134">(R155)-(S155)</f>
        <v>0</v>
      </c>
      <c r="U155" s="6" t="str">
        <f t="shared" ref="U155:U180" si="135">IF(S155=0,"",(R155)/(S155))</f>
        <v/>
      </c>
      <c r="V155" s="5">
        <f t="shared" ref="V155:V180" si="136">(N155)+(R155)</f>
        <v>404.58</v>
      </c>
      <c r="W155" s="5">
        <f t="shared" ref="W155:W180" si="137">(O155)+(S155)</f>
        <v>0</v>
      </c>
      <c r="X155" s="5">
        <f t="shared" ref="X155:X180" si="138">(V155)-(W155)</f>
        <v>404.58</v>
      </c>
      <c r="Y155" s="6" t="str">
        <f t="shared" ref="Y155:Y180" si="139">IF(W155=0,"",(V155)/(W155))</f>
        <v/>
      </c>
      <c r="Z155" s="5">
        <f>404.58</f>
        <v>404.58</v>
      </c>
      <c r="AA155" s="5">
        <f>600</f>
        <v>600</v>
      </c>
      <c r="AB155" s="5">
        <f t="shared" ref="AB155:AB180" si="140">(Z155)-(AA155)</f>
        <v>-195.42000000000002</v>
      </c>
      <c r="AC155" s="6">
        <f t="shared" ref="AC155:AC180" si="141">IF(AA155=0,"",(Z155)/(AA155))</f>
        <v>0.67430000000000001</v>
      </c>
      <c r="AD155" s="4"/>
      <c r="AE155" s="4"/>
      <c r="AF155" s="5">
        <f t="shared" ref="AF155:AF180" si="142">(AD155)-(AE155)</f>
        <v>0</v>
      </c>
      <c r="AG155" s="6" t="str">
        <f t="shared" ref="AG155:AG180" si="143">IF(AE155=0,"",(AD155)/(AE155))</f>
        <v/>
      </c>
      <c r="AH155" s="5">
        <f t="shared" ref="AH155:AH180" si="144">(Z155)+(AD155)</f>
        <v>404.58</v>
      </c>
      <c r="AI155" s="5">
        <f t="shared" ref="AI155:AI180" si="145">(AA155)+(AE155)</f>
        <v>600</v>
      </c>
      <c r="AJ155" s="5">
        <f t="shared" ref="AJ155:AJ180" si="146">(AH155)-(AI155)</f>
        <v>-195.42000000000002</v>
      </c>
      <c r="AK155" s="6">
        <f t="shared" ref="AK155:AK180" si="147">IF(AI155=0,"",(AH155)/(AI155))</f>
        <v>0.67430000000000001</v>
      </c>
      <c r="AL155" s="5">
        <f>0</f>
        <v>0</v>
      </c>
      <c r="AM155" s="4"/>
      <c r="AN155" s="5">
        <f t="shared" ref="AN155:AN180" si="148">(AL155)-(AM155)</f>
        <v>0</v>
      </c>
      <c r="AO155" s="6" t="str">
        <f t="shared" ref="AO155:AO180" si="149">IF(AM155=0,"",(AL155)/(AM155))</f>
        <v/>
      </c>
      <c r="AP155" s="5">
        <f t="shared" ref="AP155:AP180" si="150">(((J155)+(V155))+(AH155))+(AL155)</f>
        <v>1226</v>
      </c>
      <c r="AQ155" s="5">
        <f t="shared" ref="AQ155:AQ180" si="151">(((K155)+(W155))+(AI155))+(AM155)</f>
        <v>1600</v>
      </c>
      <c r="AR155" s="5">
        <f t="shared" ref="AR155:AR180" si="152">(AP155)-(AQ155)</f>
        <v>-374</v>
      </c>
      <c r="AS155" s="6">
        <f t="shared" ref="AS155:AS180" si="153">IF(AQ155=0,"",(AP155)/(AQ155))</f>
        <v>0.76624999999999999</v>
      </c>
    </row>
    <row r="156" spans="1:45" x14ac:dyDescent="0.2">
      <c r="A156" s="3" t="s">
        <v>164</v>
      </c>
      <c r="B156" s="5">
        <f>2102.98</f>
        <v>2102.98</v>
      </c>
      <c r="C156" s="5">
        <f>5600</f>
        <v>5600</v>
      </c>
      <c r="D156" s="5">
        <f t="shared" si="124"/>
        <v>-3497.02</v>
      </c>
      <c r="E156" s="6">
        <f t="shared" si="125"/>
        <v>0.37553214285714287</v>
      </c>
      <c r="F156" s="4"/>
      <c r="G156" s="4"/>
      <c r="H156" s="5">
        <f t="shared" si="126"/>
        <v>0</v>
      </c>
      <c r="I156" s="6" t="str">
        <f t="shared" si="127"/>
        <v/>
      </c>
      <c r="J156" s="5">
        <f t="shared" si="128"/>
        <v>2102.98</v>
      </c>
      <c r="K156" s="5">
        <f t="shared" si="129"/>
        <v>5600</v>
      </c>
      <c r="L156" s="5">
        <f t="shared" si="130"/>
        <v>-3497.02</v>
      </c>
      <c r="M156" s="6">
        <f t="shared" si="131"/>
        <v>0.37553214285714287</v>
      </c>
      <c r="N156" s="5">
        <f>543.18</f>
        <v>543.17999999999995</v>
      </c>
      <c r="O156" s="5">
        <f>150</f>
        <v>150</v>
      </c>
      <c r="P156" s="5">
        <f t="shared" si="132"/>
        <v>393.17999999999995</v>
      </c>
      <c r="Q156" s="6">
        <f t="shared" si="133"/>
        <v>3.6211999999999995</v>
      </c>
      <c r="R156" s="4"/>
      <c r="S156" s="4"/>
      <c r="T156" s="5">
        <f t="shared" si="134"/>
        <v>0</v>
      </c>
      <c r="U156" s="6" t="str">
        <f t="shared" si="135"/>
        <v/>
      </c>
      <c r="V156" s="5">
        <f t="shared" si="136"/>
        <v>543.17999999999995</v>
      </c>
      <c r="W156" s="5">
        <f t="shared" si="137"/>
        <v>150</v>
      </c>
      <c r="X156" s="5">
        <f t="shared" si="138"/>
        <v>393.17999999999995</v>
      </c>
      <c r="Y156" s="6">
        <f t="shared" si="139"/>
        <v>3.6211999999999995</v>
      </c>
      <c r="Z156" s="5">
        <f>543.18</f>
        <v>543.17999999999995</v>
      </c>
      <c r="AA156" s="4"/>
      <c r="AB156" s="5">
        <f t="shared" si="140"/>
        <v>543.17999999999995</v>
      </c>
      <c r="AC156" s="6" t="str">
        <f t="shared" si="141"/>
        <v/>
      </c>
      <c r="AD156" s="4"/>
      <c r="AE156" s="4"/>
      <c r="AF156" s="5">
        <f t="shared" si="142"/>
        <v>0</v>
      </c>
      <c r="AG156" s="6" t="str">
        <f t="shared" si="143"/>
        <v/>
      </c>
      <c r="AH156" s="5">
        <f t="shared" si="144"/>
        <v>543.17999999999995</v>
      </c>
      <c r="AI156" s="5">
        <f t="shared" si="145"/>
        <v>0</v>
      </c>
      <c r="AJ156" s="5">
        <f t="shared" si="146"/>
        <v>543.17999999999995</v>
      </c>
      <c r="AK156" s="6" t="str">
        <f t="shared" si="147"/>
        <v/>
      </c>
      <c r="AL156" s="5">
        <f>0</f>
        <v>0</v>
      </c>
      <c r="AM156" s="4"/>
      <c r="AN156" s="5">
        <f t="shared" si="148"/>
        <v>0</v>
      </c>
      <c r="AO156" s="6" t="str">
        <f t="shared" si="149"/>
        <v/>
      </c>
      <c r="AP156" s="5">
        <f t="shared" si="150"/>
        <v>3189.3399999999997</v>
      </c>
      <c r="AQ156" s="5">
        <f t="shared" si="151"/>
        <v>5750</v>
      </c>
      <c r="AR156" s="5">
        <f t="shared" si="152"/>
        <v>-2560.6600000000003</v>
      </c>
      <c r="AS156" s="6">
        <f t="shared" si="153"/>
        <v>0.55466782608695642</v>
      </c>
    </row>
    <row r="157" spans="1:45" x14ac:dyDescent="0.2">
      <c r="A157" s="3" t="s">
        <v>165</v>
      </c>
      <c r="B157" s="5">
        <f>131.99</f>
        <v>131.99</v>
      </c>
      <c r="C157" s="4"/>
      <c r="D157" s="5">
        <f t="shared" si="124"/>
        <v>131.99</v>
      </c>
      <c r="E157" s="6" t="str">
        <f t="shared" si="125"/>
        <v/>
      </c>
      <c r="F157" s="4"/>
      <c r="G157" s="4"/>
      <c r="H157" s="5">
        <f t="shared" si="126"/>
        <v>0</v>
      </c>
      <c r="I157" s="6" t="str">
        <f t="shared" si="127"/>
        <v/>
      </c>
      <c r="J157" s="5">
        <f t="shared" si="128"/>
        <v>131.99</v>
      </c>
      <c r="K157" s="5">
        <f t="shared" si="129"/>
        <v>0</v>
      </c>
      <c r="L157" s="5">
        <f t="shared" si="130"/>
        <v>131.99</v>
      </c>
      <c r="M157" s="6" t="str">
        <f t="shared" si="131"/>
        <v/>
      </c>
      <c r="N157" s="5">
        <f>696.06</f>
        <v>696.06</v>
      </c>
      <c r="O157" s="5">
        <f>1000</f>
        <v>1000</v>
      </c>
      <c r="P157" s="5">
        <f t="shared" si="132"/>
        <v>-303.94000000000005</v>
      </c>
      <c r="Q157" s="6">
        <f t="shared" si="133"/>
        <v>0.6960599999999999</v>
      </c>
      <c r="R157" s="4"/>
      <c r="S157" s="4"/>
      <c r="T157" s="5">
        <f t="shared" si="134"/>
        <v>0</v>
      </c>
      <c r="U157" s="6" t="str">
        <f t="shared" si="135"/>
        <v/>
      </c>
      <c r="V157" s="5">
        <f t="shared" si="136"/>
        <v>696.06</v>
      </c>
      <c r="W157" s="5">
        <f t="shared" si="137"/>
        <v>1000</v>
      </c>
      <c r="X157" s="5">
        <f t="shared" si="138"/>
        <v>-303.94000000000005</v>
      </c>
      <c r="Y157" s="6">
        <f t="shared" si="139"/>
        <v>0.6960599999999999</v>
      </c>
      <c r="Z157" s="4"/>
      <c r="AA157" s="4"/>
      <c r="AB157" s="5">
        <f t="shared" si="140"/>
        <v>0</v>
      </c>
      <c r="AC157" s="6" t="str">
        <f t="shared" si="141"/>
        <v/>
      </c>
      <c r="AD157" s="4"/>
      <c r="AE157" s="4"/>
      <c r="AF157" s="5">
        <f t="shared" si="142"/>
        <v>0</v>
      </c>
      <c r="AG157" s="6" t="str">
        <f t="shared" si="143"/>
        <v/>
      </c>
      <c r="AH157" s="5">
        <f t="shared" si="144"/>
        <v>0</v>
      </c>
      <c r="AI157" s="5">
        <f t="shared" si="145"/>
        <v>0</v>
      </c>
      <c r="AJ157" s="5">
        <f t="shared" si="146"/>
        <v>0</v>
      </c>
      <c r="AK157" s="6" t="str">
        <f t="shared" si="147"/>
        <v/>
      </c>
      <c r="AL157" s="4"/>
      <c r="AM157" s="4"/>
      <c r="AN157" s="5">
        <f t="shared" si="148"/>
        <v>0</v>
      </c>
      <c r="AO157" s="6" t="str">
        <f t="shared" si="149"/>
        <v/>
      </c>
      <c r="AP157" s="5">
        <f t="shared" si="150"/>
        <v>828.05</v>
      </c>
      <c r="AQ157" s="5">
        <f t="shared" si="151"/>
        <v>1000</v>
      </c>
      <c r="AR157" s="5">
        <f t="shared" si="152"/>
        <v>-171.95000000000005</v>
      </c>
      <c r="AS157" s="6">
        <f t="shared" si="153"/>
        <v>0.82804999999999995</v>
      </c>
    </row>
    <row r="158" spans="1:45" x14ac:dyDescent="0.2">
      <c r="A158" s="3" t="s">
        <v>166</v>
      </c>
      <c r="B158" s="5">
        <f>1189.53</f>
        <v>1189.53</v>
      </c>
      <c r="C158" s="5">
        <f>10000</f>
        <v>10000</v>
      </c>
      <c r="D158" s="5">
        <f t="shared" si="124"/>
        <v>-8810.4699999999993</v>
      </c>
      <c r="E158" s="6">
        <f t="shared" si="125"/>
        <v>0.118953</v>
      </c>
      <c r="F158" s="5">
        <f>1200.09</f>
        <v>1200.0899999999999</v>
      </c>
      <c r="G158" s="4"/>
      <c r="H158" s="5">
        <f t="shared" si="126"/>
        <v>1200.0899999999999</v>
      </c>
      <c r="I158" s="6" t="str">
        <f t="shared" si="127"/>
        <v/>
      </c>
      <c r="J158" s="5">
        <f t="shared" si="128"/>
        <v>2389.62</v>
      </c>
      <c r="K158" s="5">
        <f t="shared" si="129"/>
        <v>10000</v>
      </c>
      <c r="L158" s="5">
        <f t="shared" si="130"/>
        <v>-7610.38</v>
      </c>
      <c r="M158" s="6">
        <f t="shared" si="131"/>
        <v>0.23896199999999998</v>
      </c>
      <c r="N158" s="4"/>
      <c r="O158" s="4"/>
      <c r="P158" s="5">
        <f t="shared" si="132"/>
        <v>0</v>
      </c>
      <c r="Q158" s="6" t="str">
        <f t="shared" si="133"/>
        <v/>
      </c>
      <c r="R158" s="4"/>
      <c r="S158" s="4"/>
      <c r="T158" s="5">
        <f t="shared" si="134"/>
        <v>0</v>
      </c>
      <c r="U158" s="6" t="str">
        <f t="shared" si="135"/>
        <v/>
      </c>
      <c r="V158" s="5">
        <f t="shared" si="136"/>
        <v>0</v>
      </c>
      <c r="W158" s="5">
        <f t="shared" si="137"/>
        <v>0</v>
      </c>
      <c r="X158" s="5">
        <f t="shared" si="138"/>
        <v>0</v>
      </c>
      <c r="Y158" s="6" t="str">
        <f t="shared" si="139"/>
        <v/>
      </c>
      <c r="Z158" s="4"/>
      <c r="AA158" s="4"/>
      <c r="AB158" s="5">
        <f t="shared" si="140"/>
        <v>0</v>
      </c>
      <c r="AC158" s="6" t="str">
        <f t="shared" si="141"/>
        <v/>
      </c>
      <c r="AD158" s="4"/>
      <c r="AE158" s="4"/>
      <c r="AF158" s="5">
        <f t="shared" si="142"/>
        <v>0</v>
      </c>
      <c r="AG158" s="6" t="str">
        <f t="shared" si="143"/>
        <v/>
      </c>
      <c r="AH158" s="5">
        <f t="shared" si="144"/>
        <v>0</v>
      </c>
      <c r="AI158" s="5">
        <f t="shared" si="145"/>
        <v>0</v>
      </c>
      <c r="AJ158" s="5">
        <f t="shared" si="146"/>
        <v>0</v>
      </c>
      <c r="AK158" s="6" t="str">
        <f t="shared" si="147"/>
        <v/>
      </c>
      <c r="AL158" s="4"/>
      <c r="AM158" s="4"/>
      <c r="AN158" s="5">
        <f t="shared" si="148"/>
        <v>0</v>
      </c>
      <c r="AO158" s="6" t="str">
        <f t="shared" si="149"/>
        <v/>
      </c>
      <c r="AP158" s="5">
        <f t="shared" si="150"/>
        <v>2389.62</v>
      </c>
      <c r="AQ158" s="5">
        <f t="shared" si="151"/>
        <v>10000</v>
      </c>
      <c r="AR158" s="5">
        <f t="shared" si="152"/>
        <v>-7610.38</v>
      </c>
      <c r="AS158" s="6">
        <f t="shared" si="153"/>
        <v>0.23896199999999998</v>
      </c>
    </row>
    <row r="159" spans="1:45" x14ac:dyDescent="0.2">
      <c r="A159" s="3" t="s">
        <v>167</v>
      </c>
      <c r="B159" s="5">
        <f>1019.37</f>
        <v>1019.37</v>
      </c>
      <c r="C159" s="5">
        <f>800</f>
        <v>800</v>
      </c>
      <c r="D159" s="5">
        <f t="shared" si="124"/>
        <v>219.37</v>
      </c>
      <c r="E159" s="6">
        <f t="shared" si="125"/>
        <v>1.2742125</v>
      </c>
      <c r="F159" s="4"/>
      <c r="G159" s="4"/>
      <c r="H159" s="5">
        <f t="shared" si="126"/>
        <v>0</v>
      </c>
      <c r="I159" s="6" t="str">
        <f t="shared" si="127"/>
        <v/>
      </c>
      <c r="J159" s="5">
        <f t="shared" si="128"/>
        <v>1019.37</v>
      </c>
      <c r="K159" s="5">
        <f t="shared" si="129"/>
        <v>800</v>
      </c>
      <c r="L159" s="5">
        <f t="shared" si="130"/>
        <v>219.37</v>
      </c>
      <c r="M159" s="6">
        <f t="shared" si="131"/>
        <v>1.2742125</v>
      </c>
      <c r="N159" s="5">
        <f>678.91</f>
        <v>678.91</v>
      </c>
      <c r="O159" s="5">
        <f>800</f>
        <v>800</v>
      </c>
      <c r="P159" s="5">
        <f t="shared" si="132"/>
        <v>-121.09000000000003</v>
      </c>
      <c r="Q159" s="6">
        <f t="shared" si="133"/>
        <v>0.84863749999999993</v>
      </c>
      <c r="R159" s="4"/>
      <c r="S159" s="4"/>
      <c r="T159" s="5">
        <f t="shared" si="134"/>
        <v>0</v>
      </c>
      <c r="U159" s="6" t="str">
        <f t="shared" si="135"/>
        <v/>
      </c>
      <c r="V159" s="5">
        <f t="shared" si="136"/>
        <v>678.91</v>
      </c>
      <c r="W159" s="5">
        <f t="shared" si="137"/>
        <v>800</v>
      </c>
      <c r="X159" s="5">
        <f t="shared" si="138"/>
        <v>-121.09000000000003</v>
      </c>
      <c r="Y159" s="6">
        <f t="shared" si="139"/>
        <v>0.84863749999999993</v>
      </c>
      <c r="Z159" s="5">
        <f>678.95</f>
        <v>678.95</v>
      </c>
      <c r="AA159" s="5">
        <f>800</f>
        <v>800</v>
      </c>
      <c r="AB159" s="5">
        <f t="shared" si="140"/>
        <v>-121.04999999999995</v>
      </c>
      <c r="AC159" s="6">
        <f t="shared" si="141"/>
        <v>0.84868750000000004</v>
      </c>
      <c r="AD159" s="4"/>
      <c r="AE159" s="4"/>
      <c r="AF159" s="5">
        <f t="shared" si="142"/>
        <v>0</v>
      </c>
      <c r="AG159" s="6" t="str">
        <f t="shared" si="143"/>
        <v/>
      </c>
      <c r="AH159" s="5">
        <f t="shared" si="144"/>
        <v>678.95</v>
      </c>
      <c r="AI159" s="5">
        <f t="shared" si="145"/>
        <v>800</v>
      </c>
      <c r="AJ159" s="5">
        <f t="shared" si="146"/>
        <v>-121.04999999999995</v>
      </c>
      <c r="AK159" s="6">
        <f t="shared" si="147"/>
        <v>0.84868750000000004</v>
      </c>
      <c r="AL159" s="5">
        <f>0</f>
        <v>0</v>
      </c>
      <c r="AM159" s="4"/>
      <c r="AN159" s="5">
        <f t="shared" si="148"/>
        <v>0</v>
      </c>
      <c r="AO159" s="6" t="str">
        <f t="shared" si="149"/>
        <v/>
      </c>
      <c r="AP159" s="5">
        <f t="shared" si="150"/>
        <v>2377.23</v>
      </c>
      <c r="AQ159" s="5">
        <f t="shared" si="151"/>
        <v>2400</v>
      </c>
      <c r="AR159" s="5">
        <f t="shared" si="152"/>
        <v>-22.769999999999982</v>
      </c>
      <c r="AS159" s="6">
        <f t="shared" si="153"/>
        <v>0.99051250000000002</v>
      </c>
    </row>
    <row r="160" spans="1:45" x14ac:dyDescent="0.2">
      <c r="A160" s="3" t="s">
        <v>168</v>
      </c>
      <c r="B160" s="5">
        <f>1332.3</f>
        <v>1332.3</v>
      </c>
      <c r="C160" s="5">
        <f>3520</f>
        <v>3520</v>
      </c>
      <c r="D160" s="5">
        <f t="shared" si="124"/>
        <v>-2187.6999999999998</v>
      </c>
      <c r="E160" s="6">
        <f t="shared" si="125"/>
        <v>0.37849431818181817</v>
      </c>
      <c r="F160" s="4"/>
      <c r="G160" s="4"/>
      <c r="H160" s="5">
        <f t="shared" si="126"/>
        <v>0</v>
      </c>
      <c r="I160" s="6" t="str">
        <f t="shared" si="127"/>
        <v/>
      </c>
      <c r="J160" s="5">
        <f t="shared" si="128"/>
        <v>1332.3</v>
      </c>
      <c r="K160" s="5">
        <f t="shared" si="129"/>
        <v>3520</v>
      </c>
      <c r="L160" s="5">
        <f t="shared" si="130"/>
        <v>-2187.6999999999998</v>
      </c>
      <c r="M160" s="6">
        <f t="shared" si="131"/>
        <v>0.37849431818181817</v>
      </c>
      <c r="N160" s="5">
        <f>1112.16</f>
        <v>1112.1600000000001</v>
      </c>
      <c r="O160" s="5">
        <f>1200</f>
        <v>1200</v>
      </c>
      <c r="P160" s="5">
        <f t="shared" si="132"/>
        <v>-87.839999999999918</v>
      </c>
      <c r="Q160" s="6">
        <f t="shared" si="133"/>
        <v>0.92680000000000007</v>
      </c>
      <c r="R160" s="4"/>
      <c r="S160" s="4"/>
      <c r="T160" s="5">
        <f t="shared" si="134"/>
        <v>0</v>
      </c>
      <c r="U160" s="6" t="str">
        <f t="shared" si="135"/>
        <v/>
      </c>
      <c r="V160" s="5">
        <f t="shared" si="136"/>
        <v>1112.1600000000001</v>
      </c>
      <c r="W160" s="5">
        <f t="shared" si="137"/>
        <v>1200</v>
      </c>
      <c r="X160" s="5">
        <f t="shared" si="138"/>
        <v>-87.839999999999918</v>
      </c>
      <c r="Y160" s="6">
        <f t="shared" si="139"/>
        <v>0.92680000000000007</v>
      </c>
      <c r="Z160" s="5">
        <f>896.63</f>
        <v>896.63</v>
      </c>
      <c r="AA160" s="5">
        <f>1200</f>
        <v>1200</v>
      </c>
      <c r="AB160" s="5">
        <f t="shared" si="140"/>
        <v>-303.37</v>
      </c>
      <c r="AC160" s="6">
        <f t="shared" si="141"/>
        <v>0.7471916666666667</v>
      </c>
      <c r="AD160" s="4"/>
      <c r="AE160" s="4"/>
      <c r="AF160" s="5">
        <f t="shared" si="142"/>
        <v>0</v>
      </c>
      <c r="AG160" s="6" t="str">
        <f t="shared" si="143"/>
        <v/>
      </c>
      <c r="AH160" s="5">
        <f t="shared" si="144"/>
        <v>896.63</v>
      </c>
      <c r="AI160" s="5">
        <f t="shared" si="145"/>
        <v>1200</v>
      </c>
      <c r="AJ160" s="5">
        <f t="shared" si="146"/>
        <v>-303.37</v>
      </c>
      <c r="AK160" s="6">
        <f t="shared" si="147"/>
        <v>0.7471916666666667</v>
      </c>
      <c r="AL160" s="5">
        <f>0</f>
        <v>0</v>
      </c>
      <c r="AM160" s="4"/>
      <c r="AN160" s="5">
        <f t="shared" si="148"/>
        <v>0</v>
      </c>
      <c r="AO160" s="6" t="str">
        <f t="shared" si="149"/>
        <v/>
      </c>
      <c r="AP160" s="5">
        <f t="shared" si="150"/>
        <v>3341.09</v>
      </c>
      <c r="AQ160" s="5">
        <f t="shared" si="151"/>
        <v>5920</v>
      </c>
      <c r="AR160" s="5">
        <f t="shared" si="152"/>
        <v>-2578.91</v>
      </c>
      <c r="AS160" s="6">
        <f t="shared" si="153"/>
        <v>0.56437331081081088</v>
      </c>
    </row>
    <row r="161" spans="1:45" x14ac:dyDescent="0.2">
      <c r="A161" s="3" t="s">
        <v>169</v>
      </c>
      <c r="B161" s="7">
        <f>(((((((B153)+(B154))+(B155))+(B156))+(B157))+(B158))+(B159))+(B160)</f>
        <v>10240.249999999998</v>
      </c>
      <c r="C161" s="7">
        <f>(((((((C153)+(C154))+(C155))+(C156))+(C157))+(C158))+(C159))+(C160)</f>
        <v>22201</v>
      </c>
      <c r="D161" s="7">
        <f t="shared" si="124"/>
        <v>-11960.750000000002</v>
      </c>
      <c r="E161" s="8">
        <f t="shared" si="125"/>
        <v>0.46125174541687303</v>
      </c>
      <c r="F161" s="7">
        <f>(((((((F153)+(F154))+(F155))+(F156))+(F157))+(F158))+(F159))+(F160)</f>
        <v>1572.11</v>
      </c>
      <c r="G161" s="7">
        <f>(((((((G153)+(G154))+(G155))+(G156))+(G157))+(G158))+(G159))+(G160)</f>
        <v>0</v>
      </c>
      <c r="H161" s="7">
        <f t="shared" si="126"/>
        <v>1572.11</v>
      </c>
      <c r="I161" s="8" t="str">
        <f t="shared" si="127"/>
        <v/>
      </c>
      <c r="J161" s="7">
        <f t="shared" si="128"/>
        <v>11812.359999999999</v>
      </c>
      <c r="K161" s="7">
        <f t="shared" si="129"/>
        <v>22201</v>
      </c>
      <c r="L161" s="7">
        <f t="shared" si="130"/>
        <v>-10388.640000000001</v>
      </c>
      <c r="M161" s="8">
        <f t="shared" si="131"/>
        <v>0.53206432142696269</v>
      </c>
      <c r="N161" s="7">
        <f>(((((((N153)+(N154))+(N155))+(N156))+(N157))+(N158))+(N159))+(N160)</f>
        <v>7812.33</v>
      </c>
      <c r="O161" s="7">
        <f>(((((((O153)+(O154))+(O155))+(O156))+(O157))+(O158))+(O159))+(O160)</f>
        <v>7050</v>
      </c>
      <c r="P161" s="7">
        <f t="shared" si="132"/>
        <v>762.32999999999993</v>
      </c>
      <c r="Q161" s="8">
        <f t="shared" si="133"/>
        <v>1.1081319148936171</v>
      </c>
      <c r="R161" s="7">
        <f>(((((((R153)+(R154))+(R155))+(R156))+(R157))+(R158))+(R159))+(R160)</f>
        <v>0</v>
      </c>
      <c r="S161" s="7">
        <f>(((((((S153)+(S154))+(S155))+(S156))+(S157))+(S158))+(S159))+(S160)</f>
        <v>0</v>
      </c>
      <c r="T161" s="7">
        <f t="shared" si="134"/>
        <v>0</v>
      </c>
      <c r="U161" s="8" t="str">
        <f t="shared" si="135"/>
        <v/>
      </c>
      <c r="V161" s="7">
        <f t="shared" si="136"/>
        <v>7812.33</v>
      </c>
      <c r="W161" s="7">
        <f t="shared" si="137"/>
        <v>7050</v>
      </c>
      <c r="X161" s="7">
        <f t="shared" si="138"/>
        <v>762.32999999999993</v>
      </c>
      <c r="Y161" s="8">
        <f t="shared" si="139"/>
        <v>1.1081319148936171</v>
      </c>
      <c r="Z161" s="7">
        <f>(((((((Z153)+(Z154))+(Z155))+(Z156))+(Z157))+(Z158))+(Z159))+(Z160)</f>
        <v>5435.2699999999995</v>
      </c>
      <c r="AA161" s="7">
        <f>(((((((AA153)+(AA154))+(AA155))+(AA156))+(AA157))+(AA158))+(AA159))+(AA160)</f>
        <v>5100</v>
      </c>
      <c r="AB161" s="7">
        <f t="shared" si="140"/>
        <v>335.26999999999953</v>
      </c>
      <c r="AC161" s="8">
        <f t="shared" si="141"/>
        <v>1.0657392156862744</v>
      </c>
      <c r="AD161" s="7">
        <f>(((((((AD153)+(AD154))+(AD155))+(AD156))+(AD157))+(AD158))+(AD159))+(AD160)</f>
        <v>0</v>
      </c>
      <c r="AE161" s="7">
        <f>(((((((AE153)+(AE154))+(AE155))+(AE156))+(AE157))+(AE158))+(AE159))+(AE160)</f>
        <v>0</v>
      </c>
      <c r="AF161" s="7">
        <f t="shared" si="142"/>
        <v>0</v>
      </c>
      <c r="AG161" s="8" t="str">
        <f t="shared" si="143"/>
        <v/>
      </c>
      <c r="AH161" s="7">
        <f t="shared" si="144"/>
        <v>5435.2699999999995</v>
      </c>
      <c r="AI161" s="7">
        <f t="shared" si="145"/>
        <v>5100</v>
      </c>
      <c r="AJ161" s="7">
        <f t="shared" si="146"/>
        <v>335.26999999999953</v>
      </c>
      <c r="AK161" s="8">
        <f t="shared" si="147"/>
        <v>1.0657392156862744</v>
      </c>
      <c r="AL161" s="7">
        <f>(((((((AL153)+(AL154))+(AL155))+(AL156))+(AL157))+(AL158))+(AL159))+(AL160)</f>
        <v>0</v>
      </c>
      <c r="AM161" s="7">
        <f>(((((((AM153)+(AM154))+(AM155))+(AM156))+(AM157))+(AM158))+(AM159))+(AM160)</f>
        <v>0</v>
      </c>
      <c r="AN161" s="7">
        <f t="shared" si="148"/>
        <v>0</v>
      </c>
      <c r="AO161" s="8" t="str">
        <f t="shared" si="149"/>
        <v/>
      </c>
      <c r="AP161" s="7">
        <f t="shared" si="150"/>
        <v>25059.96</v>
      </c>
      <c r="AQ161" s="7">
        <f t="shared" si="151"/>
        <v>34351</v>
      </c>
      <c r="AR161" s="7">
        <f t="shared" si="152"/>
        <v>-9291.0400000000009</v>
      </c>
      <c r="AS161" s="8">
        <f t="shared" si="153"/>
        <v>0.7295263602224098</v>
      </c>
    </row>
    <row r="162" spans="1:45" x14ac:dyDescent="0.2">
      <c r="A162" s="3" t="s">
        <v>170</v>
      </c>
      <c r="B162" s="5">
        <f>626.17</f>
        <v>626.16999999999996</v>
      </c>
      <c r="C162" s="4"/>
      <c r="D162" s="5">
        <f t="shared" si="124"/>
        <v>626.16999999999996</v>
      </c>
      <c r="E162" s="6" t="str">
        <f t="shared" si="125"/>
        <v/>
      </c>
      <c r="F162" s="4"/>
      <c r="G162" s="4"/>
      <c r="H162" s="5">
        <f t="shared" si="126"/>
        <v>0</v>
      </c>
      <c r="I162" s="6" t="str">
        <f t="shared" si="127"/>
        <v/>
      </c>
      <c r="J162" s="5">
        <f t="shared" si="128"/>
        <v>626.16999999999996</v>
      </c>
      <c r="K162" s="5">
        <f t="shared" si="129"/>
        <v>0</v>
      </c>
      <c r="L162" s="5">
        <f t="shared" si="130"/>
        <v>626.16999999999996</v>
      </c>
      <c r="M162" s="6" t="str">
        <f t="shared" si="131"/>
        <v/>
      </c>
      <c r="N162" s="5">
        <f>6860</f>
        <v>6860</v>
      </c>
      <c r="O162" s="5">
        <f>8300</f>
        <v>8300</v>
      </c>
      <c r="P162" s="5">
        <f t="shared" si="132"/>
        <v>-1440</v>
      </c>
      <c r="Q162" s="6">
        <f t="shared" si="133"/>
        <v>0.82650602409638552</v>
      </c>
      <c r="R162" s="4"/>
      <c r="S162" s="4"/>
      <c r="T162" s="5">
        <f t="shared" si="134"/>
        <v>0</v>
      </c>
      <c r="U162" s="6" t="str">
        <f t="shared" si="135"/>
        <v/>
      </c>
      <c r="V162" s="5">
        <f t="shared" si="136"/>
        <v>6860</v>
      </c>
      <c r="W162" s="5">
        <f t="shared" si="137"/>
        <v>8300</v>
      </c>
      <c r="X162" s="5">
        <f t="shared" si="138"/>
        <v>-1440</v>
      </c>
      <c r="Y162" s="6">
        <f t="shared" si="139"/>
        <v>0.82650602409638552</v>
      </c>
      <c r="Z162" s="5">
        <f>1132.81</f>
        <v>1132.81</v>
      </c>
      <c r="AA162" s="5">
        <f>900</f>
        <v>900</v>
      </c>
      <c r="AB162" s="5">
        <f t="shared" si="140"/>
        <v>232.80999999999995</v>
      </c>
      <c r="AC162" s="6">
        <f t="shared" si="141"/>
        <v>1.2586777777777778</v>
      </c>
      <c r="AD162" s="5">
        <f>80</f>
        <v>80</v>
      </c>
      <c r="AE162" s="4"/>
      <c r="AF162" s="5">
        <f t="shared" si="142"/>
        <v>80</v>
      </c>
      <c r="AG162" s="6" t="str">
        <f t="shared" si="143"/>
        <v/>
      </c>
      <c r="AH162" s="5">
        <f t="shared" si="144"/>
        <v>1212.81</v>
      </c>
      <c r="AI162" s="5">
        <f t="shared" si="145"/>
        <v>900</v>
      </c>
      <c r="AJ162" s="5">
        <f t="shared" si="146"/>
        <v>312.80999999999995</v>
      </c>
      <c r="AK162" s="6">
        <f t="shared" si="147"/>
        <v>1.3475666666666666</v>
      </c>
      <c r="AL162" s="4"/>
      <c r="AM162" s="4"/>
      <c r="AN162" s="5">
        <f t="shared" si="148"/>
        <v>0</v>
      </c>
      <c r="AO162" s="6" t="str">
        <f t="shared" si="149"/>
        <v/>
      </c>
      <c r="AP162" s="5">
        <f t="shared" si="150"/>
        <v>8698.98</v>
      </c>
      <c r="AQ162" s="5">
        <f t="shared" si="151"/>
        <v>9200</v>
      </c>
      <c r="AR162" s="5">
        <f t="shared" si="152"/>
        <v>-501.02000000000044</v>
      </c>
      <c r="AS162" s="6">
        <f t="shared" si="153"/>
        <v>0.94554130434782602</v>
      </c>
    </row>
    <row r="163" spans="1:45" x14ac:dyDescent="0.2">
      <c r="A163" s="3" t="s">
        <v>171</v>
      </c>
      <c r="B163" s="5">
        <f>-10000</f>
        <v>-10000</v>
      </c>
      <c r="C163" s="4"/>
      <c r="D163" s="5">
        <f t="shared" si="124"/>
        <v>-10000</v>
      </c>
      <c r="E163" s="6" t="str">
        <f t="shared" si="125"/>
        <v/>
      </c>
      <c r="F163" s="4"/>
      <c r="G163" s="4"/>
      <c r="H163" s="5">
        <f t="shared" si="126"/>
        <v>0</v>
      </c>
      <c r="I163" s="6" t="str">
        <f t="shared" si="127"/>
        <v/>
      </c>
      <c r="J163" s="5">
        <f t="shared" si="128"/>
        <v>-10000</v>
      </c>
      <c r="K163" s="5">
        <f t="shared" si="129"/>
        <v>0</v>
      </c>
      <c r="L163" s="5">
        <f t="shared" si="130"/>
        <v>-10000</v>
      </c>
      <c r="M163" s="6" t="str">
        <f t="shared" si="131"/>
        <v/>
      </c>
      <c r="N163" s="5">
        <f>441.84</f>
        <v>441.84</v>
      </c>
      <c r="O163" s="4"/>
      <c r="P163" s="5">
        <f t="shared" si="132"/>
        <v>441.84</v>
      </c>
      <c r="Q163" s="6" t="str">
        <f t="shared" si="133"/>
        <v/>
      </c>
      <c r="R163" s="4"/>
      <c r="S163" s="4"/>
      <c r="T163" s="5">
        <f t="shared" si="134"/>
        <v>0</v>
      </c>
      <c r="U163" s="6" t="str">
        <f t="shared" si="135"/>
        <v/>
      </c>
      <c r="V163" s="5">
        <f t="shared" si="136"/>
        <v>441.84</v>
      </c>
      <c r="W163" s="5">
        <f t="shared" si="137"/>
        <v>0</v>
      </c>
      <c r="X163" s="5">
        <f t="shared" si="138"/>
        <v>441.84</v>
      </c>
      <c r="Y163" s="6" t="str">
        <f t="shared" si="139"/>
        <v/>
      </c>
      <c r="Z163" s="5">
        <f>2334.21</f>
        <v>2334.21</v>
      </c>
      <c r="AA163" s="4"/>
      <c r="AB163" s="5">
        <f t="shared" si="140"/>
        <v>2334.21</v>
      </c>
      <c r="AC163" s="6" t="str">
        <f t="shared" si="141"/>
        <v/>
      </c>
      <c r="AD163" s="4"/>
      <c r="AE163" s="4"/>
      <c r="AF163" s="5">
        <f t="shared" si="142"/>
        <v>0</v>
      </c>
      <c r="AG163" s="6" t="str">
        <f t="shared" si="143"/>
        <v/>
      </c>
      <c r="AH163" s="5">
        <f t="shared" si="144"/>
        <v>2334.21</v>
      </c>
      <c r="AI163" s="5">
        <f t="shared" si="145"/>
        <v>0</v>
      </c>
      <c r="AJ163" s="5">
        <f t="shared" si="146"/>
        <v>2334.21</v>
      </c>
      <c r="AK163" s="6" t="str">
        <f t="shared" si="147"/>
        <v/>
      </c>
      <c r="AL163" s="4"/>
      <c r="AM163" s="4"/>
      <c r="AN163" s="5">
        <f t="shared" si="148"/>
        <v>0</v>
      </c>
      <c r="AO163" s="6" t="str">
        <f t="shared" si="149"/>
        <v/>
      </c>
      <c r="AP163" s="5">
        <f t="shared" si="150"/>
        <v>-7223.95</v>
      </c>
      <c r="AQ163" s="5">
        <f t="shared" si="151"/>
        <v>0</v>
      </c>
      <c r="AR163" s="5">
        <f t="shared" si="152"/>
        <v>-7223.95</v>
      </c>
      <c r="AS163" s="6" t="str">
        <f t="shared" si="153"/>
        <v/>
      </c>
    </row>
    <row r="164" spans="1:45" x14ac:dyDescent="0.2">
      <c r="A164" s="3" t="s">
        <v>172</v>
      </c>
      <c r="B164" s="7">
        <f>((((((((((((((((((((((((B59)+(B73))+(B84))+(B85))+(B105))+(B106))+(B110))+(B114))+(B115))+(B118))+(B119))+(B120))+(B121))+(B122))+(B123))+(B141))+(B142))+(B143))+(B144))+(B145))+(B148))+(B152))+(B161))+(B162))+(B163)</f>
        <v>212901.52</v>
      </c>
      <c r="C164" s="7">
        <f>((((((((((((((((((((((((C59)+(C73))+(C84))+(C85))+(C105))+(C106))+(C110))+(C114))+(C115))+(C118))+(C119))+(C120))+(C121))+(C122))+(C123))+(C141))+(C142))+(C143))+(C144))+(C145))+(C148))+(C152))+(C161))+(C162))+(C163)</f>
        <v>313350.59999999998</v>
      </c>
      <c r="D164" s="7">
        <f t="shared" si="124"/>
        <v>-100449.07999999999</v>
      </c>
      <c r="E164" s="8">
        <f t="shared" si="125"/>
        <v>0.67943549493761946</v>
      </c>
      <c r="F164" s="7">
        <f>((((((((((((((((((((((((F59)+(F73))+(F84))+(F85))+(F105))+(F106))+(F110))+(F114))+(F115))+(F118))+(F119))+(F120))+(F121))+(F122))+(F123))+(F141))+(F142))+(F143))+(F144))+(F145))+(F148))+(F152))+(F161))+(F162))+(F163)</f>
        <v>4689.09</v>
      </c>
      <c r="G164" s="7">
        <f>((((((((((((((((((((((((G59)+(G73))+(G84))+(G85))+(G105))+(G106))+(G110))+(G114))+(G115))+(G118))+(G119))+(G120))+(G121))+(G122))+(G123))+(G141))+(G142))+(G143))+(G144))+(G145))+(G148))+(G152))+(G161))+(G162))+(G163)</f>
        <v>0</v>
      </c>
      <c r="H164" s="7">
        <f t="shared" si="126"/>
        <v>4689.09</v>
      </c>
      <c r="I164" s="8" t="str">
        <f t="shared" si="127"/>
        <v/>
      </c>
      <c r="J164" s="7">
        <f t="shared" si="128"/>
        <v>217590.61</v>
      </c>
      <c r="K164" s="7">
        <f t="shared" si="129"/>
        <v>313350.59999999998</v>
      </c>
      <c r="L164" s="7">
        <f t="shared" si="130"/>
        <v>-95759.989999999991</v>
      </c>
      <c r="M164" s="8">
        <f t="shared" si="131"/>
        <v>0.69439985115713831</v>
      </c>
      <c r="N164" s="7">
        <f>((((((((((((((((((((((((N59)+(N73))+(N84))+(N85))+(N105))+(N106))+(N110))+(N114))+(N115))+(N118))+(N119))+(N120))+(N121))+(N122))+(N123))+(N141))+(N142))+(N143))+(N144))+(N145))+(N148))+(N152))+(N161))+(N162))+(N163)</f>
        <v>139267.07999999999</v>
      </c>
      <c r="O164" s="7">
        <f>((((((((((((((((((((((((O59)+(O73))+(O84))+(O85))+(O105))+(O106))+(O110))+(O114))+(O115))+(O118))+(O119))+(O120))+(O121))+(O122))+(O123))+(O141))+(O142))+(O143))+(O144))+(O145))+(O148))+(O152))+(O161))+(O162))+(O163)</f>
        <v>212390</v>
      </c>
      <c r="P164" s="7">
        <f t="shared" si="132"/>
        <v>-73122.920000000013</v>
      </c>
      <c r="Q164" s="8">
        <f t="shared" si="133"/>
        <v>0.65571392250105931</v>
      </c>
      <c r="R164" s="7">
        <f>((((((((((((((((((((((((R59)+(R73))+(R84))+(R85))+(R105))+(R106))+(R110))+(R114))+(R115))+(R118))+(R119))+(R120))+(R121))+(R122))+(R123))+(R141))+(R142))+(R143))+(R144))+(R145))+(R148))+(R152))+(R161))+(R162))+(R163)</f>
        <v>2053.1999999999998</v>
      </c>
      <c r="S164" s="7">
        <f>((((((((((((((((((((((((S59)+(S73))+(S84))+(S85))+(S105))+(S106))+(S110))+(S114))+(S115))+(S118))+(S119))+(S120))+(S121))+(S122))+(S123))+(S141))+(S142))+(S143))+(S144))+(S145))+(S148))+(S152))+(S161))+(S162))+(S163)</f>
        <v>0</v>
      </c>
      <c r="T164" s="7">
        <f t="shared" si="134"/>
        <v>2053.1999999999998</v>
      </c>
      <c r="U164" s="8" t="str">
        <f t="shared" si="135"/>
        <v/>
      </c>
      <c r="V164" s="7">
        <f t="shared" si="136"/>
        <v>141320.28</v>
      </c>
      <c r="W164" s="7">
        <f t="shared" si="137"/>
        <v>212390</v>
      </c>
      <c r="X164" s="7">
        <f t="shared" si="138"/>
        <v>-71069.72</v>
      </c>
      <c r="Y164" s="8">
        <f t="shared" si="139"/>
        <v>0.66538104430528744</v>
      </c>
      <c r="Z164" s="7">
        <f>((((((((((((((((((((((((Z59)+(Z73))+(Z84))+(Z85))+(Z105))+(Z106))+(Z110))+(Z114))+(Z115))+(Z118))+(Z119))+(Z120))+(Z121))+(Z122))+(Z123))+(Z141))+(Z142))+(Z143))+(Z144))+(Z145))+(Z148))+(Z152))+(Z161))+(Z162))+(Z163)</f>
        <v>89205.280000000013</v>
      </c>
      <c r="AA164" s="7">
        <f>((((((((((((((((((((((((AA59)+(AA73))+(AA84))+(AA85))+(AA105))+(AA106))+(AA110))+(AA114))+(AA115))+(AA118))+(AA119))+(AA120))+(AA121))+(AA122))+(AA123))+(AA141))+(AA142))+(AA143))+(AA144))+(AA145))+(AA148))+(AA152))+(AA161))+(AA162))+(AA163)</f>
        <v>120030</v>
      </c>
      <c r="AB164" s="7">
        <f t="shared" si="140"/>
        <v>-30824.719999999987</v>
      </c>
      <c r="AC164" s="8">
        <f t="shared" si="141"/>
        <v>0.74319153544947103</v>
      </c>
      <c r="AD164" s="7">
        <f>((((((((((((((((((((((((AD59)+(AD73))+(AD84))+(AD85))+(AD105))+(AD106))+(AD110))+(AD114))+(AD115))+(AD118))+(AD119))+(AD120))+(AD121))+(AD122))+(AD123))+(AD141))+(AD142))+(AD143))+(AD144))+(AD145))+(AD148))+(AD152))+(AD161))+(AD162))+(AD163)</f>
        <v>9298.18</v>
      </c>
      <c r="AE164" s="7">
        <f>((((((((((((((((((((((((AE59)+(AE73))+(AE84))+(AE85))+(AE105))+(AE106))+(AE110))+(AE114))+(AE115))+(AE118))+(AE119))+(AE120))+(AE121))+(AE122))+(AE123))+(AE141))+(AE142))+(AE143))+(AE144))+(AE145))+(AE148))+(AE152))+(AE161))+(AE162))+(AE163)</f>
        <v>0</v>
      </c>
      <c r="AF164" s="7">
        <f t="shared" si="142"/>
        <v>9298.18</v>
      </c>
      <c r="AG164" s="8" t="str">
        <f t="shared" si="143"/>
        <v/>
      </c>
      <c r="AH164" s="7">
        <f t="shared" si="144"/>
        <v>98503.460000000021</v>
      </c>
      <c r="AI164" s="7">
        <f t="shared" si="145"/>
        <v>120030</v>
      </c>
      <c r="AJ164" s="7">
        <f t="shared" si="146"/>
        <v>-21526.539999999979</v>
      </c>
      <c r="AK164" s="8">
        <f t="shared" si="147"/>
        <v>0.82065700241606288</v>
      </c>
      <c r="AL164" s="7">
        <f>((((((((((((((((((((((((AL59)+(AL73))+(AL84))+(AL85))+(AL105))+(AL106))+(AL110))+(AL114))+(AL115))+(AL118))+(AL119))+(AL120))+(AL121))+(AL122))+(AL123))+(AL141))+(AL142))+(AL143))+(AL144))+(AL145))+(AL148))+(AL152))+(AL161))+(AL162))+(AL163)</f>
        <v>-728</v>
      </c>
      <c r="AM164" s="7">
        <f>((((((((((((((((((((((((AM59)+(AM73))+(AM84))+(AM85))+(AM105))+(AM106))+(AM110))+(AM114))+(AM115))+(AM118))+(AM119))+(AM120))+(AM121))+(AM122))+(AM123))+(AM141))+(AM142))+(AM143))+(AM144))+(AM145))+(AM148))+(AM152))+(AM161))+(AM162))+(AM163)</f>
        <v>0</v>
      </c>
      <c r="AN164" s="7">
        <f t="shared" si="148"/>
        <v>-728</v>
      </c>
      <c r="AO164" s="8" t="str">
        <f t="shared" si="149"/>
        <v/>
      </c>
      <c r="AP164" s="7">
        <f t="shared" si="150"/>
        <v>456686.35000000003</v>
      </c>
      <c r="AQ164" s="7">
        <f t="shared" si="151"/>
        <v>645770.6</v>
      </c>
      <c r="AR164" s="7">
        <f t="shared" si="152"/>
        <v>-189084.24999999994</v>
      </c>
      <c r="AS164" s="8">
        <f t="shared" si="153"/>
        <v>0.70719594543325459</v>
      </c>
    </row>
    <row r="165" spans="1:45" x14ac:dyDescent="0.2">
      <c r="A165" s="3" t="s">
        <v>173</v>
      </c>
      <c r="B165" s="4"/>
      <c r="C165" s="4"/>
      <c r="D165" s="5">
        <f t="shared" si="124"/>
        <v>0</v>
      </c>
      <c r="E165" s="6" t="str">
        <f t="shared" si="125"/>
        <v/>
      </c>
      <c r="F165" s="4"/>
      <c r="G165" s="4"/>
      <c r="H165" s="5">
        <f t="shared" si="126"/>
        <v>0</v>
      </c>
      <c r="I165" s="6" t="str">
        <f t="shared" si="127"/>
        <v/>
      </c>
      <c r="J165" s="5">
        <f t="shared" si="128"/>
        <v>0</v>
      </c>
      <c r="K165" s="5">
        <f t="shared" si="129"/>
        <v>0</v>
      </c>
      <c r="L165" s="5">
        <f t="shared" si="130"/>
        <v>0</v>
      </c>
      <c r="M165" s="6" t="str">
        <f t="shared" si="131"/>
        <v/>
      </c>
      <c r="N165" s="4"/>
      <c r="O165" s="4"/>
      <c r="P165" s="5">
        <f t="shared" si="132"/>
        <v>0</v>
      </c>
      <c r="Q165" s="6" t="str">
        <f t="shared" si="133"/>
        <v/>
      </c>
      <c r="R165" s="4"/>
      <c r="S165" s="4"/>
      <c r="T165" s="5">
        <f t="shared" si="134"/>
        <v>0</v>
      </c>
      <c r="U165" s="6" t="str">
        <f t="shared" si="135"/>
        <v/>
      </c>
      <c r="V165" s="5">
        <f t="shared" si="136"/>
        <v>0</v>
      </c>
      <c r="W165" s="5">
        <f t="shared" si="137"/>
        <v>0</v>
      </c>
      <c r="X165" s="5">
        <f t="shared" si="138"/>
        <v>0</v>
      </c>
      <c r="Y165" s="6" t="str">
        <f t="shared" si="139"/>
        <v/>
      </c>
      <c r="Z165" s="4"/>
      <c r="AA165" s="4"/>
      <c r="AB165" s="5">
        <f t="shared" si="140"/>
        <v>0</v>
      </c>
      <c r="AC165" s="6" t="str">
        <f t="shared" si="141"/>
        <v/>
      </c>
      <c r="AD165" s="4"/>
      <c r="AE165" s="4"/>
      <c r="AF165" s="5">
        <f t="shared" si="142"/>
        <v>0</v>
      </c>
      <c r="AG165" s="6" t="str">
        <f t="shared" si="143"/>
        <v/>
      </c>
      <c r="AH165" s="5">
        <f t="shared" si="144"/>
        <v>0</v>
      </c>
      <c r="AI165" s="5">
        <f t="shared" si="145"/>
        <v>0</v>
      </c>
      <c r="AJ165" s="5">
        <f t="shared" si="146"/>
        <v>0</v>
      </c>
      <c r="AK165" s="6" t="str">
        <f t="shared" si="147"/>
        <v/>
      </c>
      <c r="AL165" s="4"/>
      <c r="AM165" s="4"/>
      <c r="AN165" s="5">
        <f t="shared" si="148"/>
        <v>0</v>
      </c>
      <c r="AO165" s="6" t="str">
        <f t="shared" si="149"/>
        <v/>
      </c>
      <c r="AP165" s="5">
        <f t="shared" si="150"/>
        <v>0</v>
      </c>
      <c r="AQ165" s="5">
        <f t="shared" si="151"/>
        <v>0</v>
      </c>
      <c r="AR165" s="5">
        <f t="shared" si="152"/>
        <v>0</v>
      </c>
      <c r="AS165" s="6" t="str">
        <f t="shared" si="153"/>
        <v/>
      </c>
    </row>
    <row r="166" spans="1:45" x14ac:dyDescent="0.2">
      <c r="A166" s="3" t="s">
        <v>174</v>
      </c>
      <c r="B166" s="4"/>
      <c r="C166" s="4"/>
      <c r="D166" s="5">
        <f t="shared" si="124"/>
        <v>0</v>
      </c>
      <c r="E166" s="6" t="str">
        <f t="shared" si="125"/>
        <v/>
      </c>
      <c r="F166" s="4"/>
      <c r="G166" s="4"/>
      <c r="H166" s="5">
        <f t="shared" si="126"/>
        <v>0</v>
      </c>
      <c r="I166" s="6" t="str">
        <f t="shared" si="127"/>
        <v/>
      </c>
      <c r="J166" s="5">
        <f t="shared" si="128"/>
        <v>0</v>
      </c>
      <c r="K166" s="5">
        <f t="shared" si="129"/>
        <v>0</v>
      </c>
      <c r="L166" s="5">
        <f t="shared" si="130"/>
        <v>0</v>
      </c>
      <c r="M166" s="6" t="str">
        <f t="shared" si="131"/>
        <v/>
      </c>
      <c r="N166" s="5">
        <f>5774</f>
        <v>5774</v>
      </c>
      <c r="O166" s="5">
        <f>5774</f>
        <v>5774</v>
      </c>
      <c r="P166" s="5">
        <f t="shared" si="132"/>
        <v>0</v>
      </c>
      <c r="Q166" s="6">
        <f t="shared" si="133"/>
        <v>1</v>
      </c>
      <c r="R166" s="4"/>
      <c r="S166" s="4"/>
      <c r="T166" s="5">
        <f t="shared" si="134"/>
        <v>0</v>
      </c>
      <c r="U166" s="6" t="str">
        <f t="shared" si="135"/>
        <v/>
      </c>
      <c r="V166" s="5">
        <f t="shared" si="136"/>
        <v>5774</v>
      </c>
      <c r="W166" s="5">
        <f t="shared" si="137"/>
        <v>5774</v>
      </c>
      <c r="X166" s="5">
        <f t="shared" si="138"/>
        <v>0</v>
      </c>
      <c r="Y166" s="6">
        <f t="shared" si="139"/>
        <v>1</v>
      </c>
      <c r="Z166" s="4"/>
      <c r="AA166" s="4"/>
      <c r="AB166" s="5">
        <f t="shared" si="140"/>
        <v>0</v>
      </c>
      <c r="AC166" s="6" t="str">
        <f t="shared" si="141"/>
        <v/>
      </c>
      <c r="AD166" s="4"/>
      <c r="AE166" s="4"/>
      <c r="AF166" s="5">
        <f t="shared" si="142"/>
        <v>0</v>
      </c>
      <c r="AG166" s="6" t="str">
        <f t="shared" si="143"/>
        <v/>
      </c>
      <c r="AH166" s="5">
        <f t="shared" si="144"/>
        <v>0</v>
      </c>
      <c r="AI166" s="5">
        <f t="shared" si="145"/>
        <v>0</v>
      </c>
      <c r="AJ166" s="5">
        <f t="shared" si="146"/>
        <v>0</v>
      </c>
      <c r="AK166" s="6" t="str">
        <f t="shared" si="147"/>
        <v/>
      </c>
      <c r="AL166" s="4"/>
      <c r="AM166" s="4"/>
      <c r="AN166" s="5">
        <f t="shared" si="148"/>
        <v>0</v>
      </c>
      <c r="AO166" s="6" t="str">
        <f t="shared" si="149"/>
        <v/>
      </c>
      <c r="AP166" s="5">
        <f t="shared" si="150"/>
        <v>5774</v>
      </c>
      <c r="AQ166" s="5">
        <f t="shared" si="151"/>
        <v>5774</v>
      </c>
      <c r="AR166" s="5">
        <f t="shared" si="152"/>
        <v>0</v>
      </c>
      <c r="AS166" s="6">
        <f t="shared" si="153"/>
        <v>1</v>
      </c>
    </row>
    <row r="167" spans="1:45" x14ac:dyDescent="0.2">
      <c r="A167" s="3" t="s">
        <v>175</v>
      </c>
      <c r="B167" s="4"/>
      <c r="C167" s="4"/>
      <c r="D167" s="5">
        <f t="shared" si="124"/>
        <v>0</v>
      </c>
      <c r="E167" s="6" t="str">
        <f t="shared" si="125"/>
        <v/>
      </c>
      <c r="F167" s="4"/>
      <c r="G167" s="4"/>
      <c r="H167" s="5">
        <f t="shared" si="126"/>
        <v>0</v>
      </c>
      <c r="I167" s="6" t="str">
        <f t="shared" si="127"/>
        <v/>
      </c>
      <c r="J167" s="5">
        <f t="shared" si="128"/>
        <v>0</v>
      </c>
      <c r="K167" s="5">
        <f t="shared" si="129"/>
        <v>0</v>
      </c>
      <c r="L167" s="5">
        <f t="shared" si="130"/>
        <v>0</v>
      </c>
      <c r="M167" s="6" t="str">
        <f t="shared" si="131"/>
        <v/>
      </c>
      <c r="N167" s="5">
        <f>711.15</f>
        <v>711.15</v>
      </c>
      <c r="O167" s="5">
        <f>1717</f>
        <v>1717</v>
      </c>
      <c r="P167" s="5">
        <f t="shared" si="132"/>
        <v>-1005.85</v>
      </c>
      <c r="Q167" s="6">
        <f t="shared" si="133"/>
        <v>0.41418171228887596</v>
      </c>
      <c r="R167" s="4"/>
      <c r="S167" s="4"/>
      <c r="T167" s="5">
        <f t="shared" si="134"/>
        <v>0</v>
      </c>
      <c r="U167" s="6" t="str">
        <f t="shared" si="135"/>
        <v/>
      </c>
      <c r="V167" s="5">
        <f t="shared" si="136"/>
        <v>711.15</v>
      </c>
      <c r="W167" s="5">
        <f t="shared" si="137"/>
        <v>1717</v>
      </c>
      <c r="X167" s="5">
        <f t="shared" si="138"/>
        <v>-1005.85</v>
      </c>
      <c r="Y167" s="6">
        <f t="shared" si="139"/>
        <v>0.41418171228887596</v>
      </c>
      <c r="Z167" s="4"/>
      <c r="AA167" s="4"/>
      <c r="AB167" s="5">
        <f t="shared" si="140"/>
        <v>0</v>
      </c>
      <c r="AC167" s="6" t="str">
        <f t="shared" si="141"/>
        <v/>
      </c>
      <c r="AD167" s="4"/>
      <c r="AE167" s="4"/>
      <c r="AF167" s="5">
        <f t="shared" si="142"/>
        <v>0</v>
      </c>
      <c r="AG167" s="6" t="str">
        <f t="shared" si="143"/>
        <v/>
      </c>
      <c r="AH167" s="5">
        <f t="shared" si="144"/>
        <v>0</v>
      </c>
      <c r="AI167" s="5">
        <f t="shared" si="145"/>
        <v>0</v>
      </c>
      <c r="AJ167" s="5">
        <f t="shared" si="146"/>
        <v>0</v>
      </c>
      <c r="AK167" s="6" t="str">
        <f t="shared" si="147"/>
        <v/>
      </c>
      <c r="AL167" s="4"/>
      <c r="AM167" s="4"/>
      <c r="AN167" s="5">
        <f t="shared" si="148"/>
        <v>0</v>
      </c>
      <c r="AO167" s="6" t="str">
        <f t="shared" si="149"/>
        <v/>
      </c>
      <c r="AP167" s="5">
        <f t="shared" si="150"/>
        <v>711.15</v>
      </c>
      <c r="AQ167" s="5">
        <f t="shared" si="151"/>
        <v>1717</v>
      </c>
      <c r="AR167" s="5">
        <f t="shared" si="152"/>
        <v>-1005.85</v>
      </c>
      <c r="AS167" s="6">
        <f t="shared" si="153"/>
        <v>0.41418171228887596</v>
      </c>
    </row>
    <row r="168" spans="1:45" x14ac:dyDescent="0.2">
      <c r="A168" s="3" t="s">
        <v>176</v>
      </c>
      <c r="B168" s="5">
        <f>33291</f>
        <v>33291</v>
      </c>
      <c r="C168" s="5">
        <f>32613</f>
        <v>32613</v>
      </c>
      <c r="D168" s="5">
        <f t="shared" si="124"/>
        <v>678</v>
      </c>
      <c r="E168" s="6">
        <f t="shared" si="125"/>
        <v>1.0207892558182321</v>
      </c>
      <c r="F168" s="4"/>
      <c r="G168" s="4"/>
      <c r="H168" s="5">
        <f t="shared" si="126"/>
        <v>0</v>
      </c>
      <c r="I168" s="6" t="str">
        <f t="shared" si="127"/>
        <v/>
      </c>
      <c r="J168" s="5">
        <f t="shared" si="128"/>
        <v>33291</v>
      </c>
      <c r="K168" s="5">
        <f t="shared" si="129"/>
        <v>32613</v>
      </c>
      <c r="L168" s="5">
        <f t="shared" si="130"/>
        <v>678</v>
      </c>
      <c r="M168" s="6">
        <f t="shared" si="131"/>
        <v>1.0207892558182321</v>
      </c>
      <c r="N168" s="4"/>
      <c r="O168" s="4"/>
      <c r="P168" s="5">
        <f t="shared" si="132"/>
        <v>0</v>
      </c>
      <c r="Q168" s="6" t="str">
        <f t="shared" si="133"/>
        <v/>
      </c>
      <c r="R168" s="4"/>
      <c r="S168" s="4"/>
      <c r="T168" s="5">
        <f t="shared" si="134"/>
        <v>0</v>
      </c>
      <c r="U168" s="6" t="str">
        <f t="shared" si="135"/>
        <v/>
      </c>
      <c r="V168" s="5">
        <f t="shared" si="136"/>
        <v>0</v>
      </c>
      <c r="W168" s="5">
        <f t="shared" si="137"/>
        <v>0</v>
      </c>
      <c r="X168" s="5">
        <f t="shared" si="138"/>
        <v>0</v>
      </c>
      <c r="Y168" s="6" t="str">
        <f t="shared" si="139"/>
        <v/>
      </c>
      <c r="Z168" s="4"/>
      <c r="AA168" s="4"/>
      <c r="AB168" s="5">
        <f t="shared" si="140"/>
        <v>0</v>
      </c>
      <c r="AC168" s="6" t="str">
        <f t="shared" si="141"/>
        <v/>
      </c>
      <c r="AD168" s="4"/>
      <c r="AE168" s="4"/>
      <c r="AF168" s="5">
        <f t="shared" si="142"/>
        <v>0</v>
      </c>
      <c r="AG168" s="6" t="str">
        <f t="shared" si="143"/>
        <v/>
      </c>
      <c r="AH168" s="5">
        <f t="shared" si="144"/>
        <v>0</v>
      </c>
      <c r="AI168" s="5">
        <f t="shared" si="145"/>
        <v>0</v>
      </c>
      <c r="AJ168" s="5">
        <f t="shared" si="146"/>
        <v>0</v>
      </c>
      <c r="AK168" s="6" t="str">
        <f t="shared" si="147"/>
        <v/>
      </c>
      <c r="AL168" s="4"/>
      <c r="AM168" s="4"/>
      <c r="AN168" s="5">
        <f t="shared" si="148"/>
        <v>0</v>
      </c>
      <c r="AO168" s="6" t="str">
        <f t="shared" si="149"/>
        <v/>
      </c>
      <c r="AP168" s="5">
        <f t="shared" si="150"/>
        <v>33291</v>
      </c>
      <c r="AQ168" s="5">
        <f t="shared" si="151"/>
        <v>32613</v>
      </c>
      <c r="AR168" s="5">
        <f t="shared" si="152"/>
        <v>678</v>
      </c>
      <c r="AS168" s="6">
        <f t="shared" si="153"/>
        <v>1.0207892558182321</v>
      </c>
    </row>
    <row r="169" spans="1:45" x14ac:dyDescent="0.2">
      <c r="A169" s="3" t="s">
        <v>177</v>
      </c>
      <c r="B169" s="5">
        <f>699.66</f>
        <v>699.66</v>
      </c>
      <c r="C169" s="5">
        <f>2078</f>
        <v>2078</v>
      </c>
      <c r="D169" s="5">
        <f t="shared" si="124"/>
        <v>-1378.3400000000001</v>
      </c>
      <c r="E169" s="6">
        <f t="shared" si="125"/>
        <v>0.33669874879692008</v>
      </c>
      <c r="F169" s="4"/>
      <c r="G169" s="4"/>
      <c r="H169" s="5">
        <f t="shared" si="126"/>
        <v>0</v>
      </c>
      <c r="I169" s="6" t="str">
        <f t="shared" si="127"/>
        <v/>
      </c>
      <c r="J169" s="5">
        <f t="shared" si="128"/>
        <v>699.66</v>
      </c>
      <c r="K169" s="5">
        <f t="shared" si="129"/>
        <v>2078</v>
      </c>
      <c r="L169" s="5">
        <f t="shared" si="130"/>
        <v>-1378.3400000000001</v>
      </c>
      <c r="M169" s="6">
        <f t="shared" si="131"/>
        <v>0.33669874879692008</v>
      </c>
      <c r="N169" s="4"/>
      <c r="O169" s="4"/>
      <c r="P169" s="5">
        <f t="shared" si="132"/>
        <v>0</v>
      </c>
      <c r="Q169" s="6" t="str">
        <f t="shared" si="133"/>
        <v/>
      </c>
      <c r="R169" s="4"/>
      <c r="S169" s="4"/>
      <c r="T169" s="5">
        <f t="shared" si="134"/>
        <v>0</v>
      </c>
      <c r="U169" s="6" t="str">
        <f t="shared" si="135"/>
        <v/>
      </c>
      <c r="V169" s="5">
        <f t="shared" si="136"/>
        <v>0</v>
      </c>
      <c r="W169" s="5">
        <f t="shared" si="137"/>
        <v>0</v>
      </c>
      <c r="X169" s="5">
        <f t="shared" si="138"/>
        <v>0</v>
      </c>
      <c r="Y169" s="6" t="str">
        <f t="shared" si="139"/>
        <v/>
      </c>
      <c r="Z169" s="4"/>
      <c r="AA169" s="4"/>
      <c r="AB169" s="5">
        <f t="shared" si="140"/>
        <v>0</v>
      </c>
      <c r="AC169" s="6" t="str">
        <f t="shared" si="141"/>
        <v/>
      </c>
      <c r="AD169" s="4"/>
      <c r="AE169" s="4"/>
      <c r="AF169" s="5">
        <f t="shared" si="142"/>
        <v>0</v>
      </c>
      <c r="AG169" s="6" t="str">
        <f t="shared" si="143"/>
        <v/>
      </c>
      <c r="AH169" s="5">
        <f t="shared" si="144"/>
        <v>0</v>
      </c>
      <c r="AI169" s="5">
        <f t="shared" si="145"/>
        <v>0</v>
      </c>
      <c r="AJ169" s="5">
        <f t="shared" si="146"/>
        <v>0</v>
      </c>
      <c r="AK169" s="6" t="str">
        <f t="shared" si="147"/>
        <v/>
      </c>
      <c r="AL169" s="4"/>
      <c r="AM169" s="4"/>
      <c r="AN169" s="5">
        <f t="shared" si="148"/>
        <v>0</v>
      </c>
      <c r="AO169" s="6" t="str">
        <f t="shared" si="149"/>
        <v/>
      </c>
      <c r="AP169" s="5">
        <f t="shared" si="150"/>
        <v>699.66</v>
      </c>
      <c r="AQ169" s="5">
        <f t="shared" si="151"/>
        <v>2078</v>
      </c>
      <c r="AR169" s="5">
        <f t="shared" si="152"/>
        <v>-1378.3400000000001</v>
      </c>
      <c r="AS169" s="6">
        <f t="shared" si="153"/>
        <v>0.33669874879692008</v>
      </c>
    </row>
    <row r="170" spans="1:45" x14ac:dyDescent="0.2">
      <c r="A170" s="3" t="s">
        <v>178</v>
      </c>
      <c r="B170" s="4"/>
      <c r="C170" s="4"/>
      <c r="D170" s="5">
        <f t="shared" si="124"/>
        <v>0</v>
      </c>
      <c r="E170" s="6" t="str">
        <f t="shared" si="125"/>
        <v/>
      </c>
      <c r="F170" s="4"/>
      <c r="G170" s="4"/>
      <c r="H170" s="5">
        <f t="shared" si="126"/>
        <v>0</v>
      </c>
      <c r="I170" s="6" t="str">
        <f t="shared" si="127"/>
        <v/>
      </c>
      <c r="J170" s="5">
        <f t="shared" si="128"/>
        <v>0</v>
      </c>
      <c r="K170" s="5">
        <f t="shared" si="129"/>
        <v>0</v>
      </c>
      <c r="L170" s="5">
        <f t="shared" si="130"/>
        <v>0</v>
      </c>
      <c r="M170" s="6" t="str">
        <f t="shared" si="131"/>
        <v/>
      </c>
      <c r="N170" s="5">
        <f>5056.32</f>
        <v>5056.32</v>
      </c>
      <c r="O170" s="5">
        <f>5261</f>
        <v>5261</v>
      </c>
      <c r="P170" s="5">
        <f t="shared" si="132"/>
        <v>-204.68000000000029</v>
      </c>
      <c r="Q170" s="6">
        <f t="shared" si="133"/>
        <v>0.96109484888804408</v>
      </c>
      <c r="R170" s="4"/>
      <c r="S170" s="4"/>
      <c r="T170" s="5">
        <f t="shared" si="134"/>
        <v>0</v>
      </c>
      <c r="U170" s="6" t="str">
        <f t="shared" si="135"/>
        <v/>
      </c>
      <c r="V170" s="5">
        <f t="shared" si="136"/>
        <v>5056.32</v>
      </c>
      <c r="W170" s="5">
        <f t="shared" si="137"/>
        <v>5261</v>
      </c>
      <c r="X170" s="5">
        <f t="shared" si="138"/>
        <v>-204.68000000000029</v>
      </c>
      <c r="Y170" s="6">
        <f t="shared" si="139"/>
        <v>0.96109484888804408</v>
      </c>
      <c r="Z170" s="4"/>
      <c r="AA170" s="4"/>
      <c r="AB170" s="5">
        <f t="shared" si="140"/>
        <v>0</v>
      </c>
      <c r="AC170" s="6" t="str">
        <f t="shared" si="141"/>
        <v/>
      </c>
      <c r="AD170" s="4"/>
      <c r="AE170" s="4"/>
      <c r="AF170" s="5">
        <f t="shared" si="142"/>
        <v>0</v>
      </c>
      <c r="AG170" s="6" t="str">
        <f t="shared" si="143"/>
        <v/>
      </c>
      <c r="AH170" s="5">
        <f t="shared" si="144"/>
        <v>0</v>
      </c>
      <c r="AI170" s="5">
        <f t="shared" si="145"/>
        <v>0</v>
      </c>
      <c r="AJ170" s="5">
        <f t="shared" si="146"/>
        <v>0</v>
      </c>
      <c r="AK170" s="6" t="str">
        <f t="shared" si="147"/>
        <v/>
      </c>
      <c r="AL170" s="4"/>
      <c r="AM170" s="4"/>
      <c r="AN170" s="5">
        <f t="shared" si="148"/>
        <v>0</v>
      </c>
      <c r="AO170" s="6" t="str">
        <f t="shared" si="149"/>
        <v/>
      </c>
      <c r="AP170" s="5">
        <f t="shared" si="150"/>
        <v>5056.32</v>
      </c>
      <c r="AQ170" s="5">
        <f t="shared" si="151"/>
        <v>5261</v>
      </c>
      <c r="AR170" s="5">
        <f t="shared" si="152"/>
        <v>-204.68000000000029</v>
      </c>
      <c r="AS170" s="6">
        <f t="shared" si="153"/>
        <v>0.96109484888804408</v>
      </c>
    </row>
    <row r="171" spans="1:45" x14ac:dyDescent="0.2">
      <c r="A171" s="3" t="s">
        <v>179</v>
      </c>
      <c r="B171" s="4"/>
      <c r="C171" s="4"/>
      <c r="D171" s="5">
        <f t="shared" si="124"/>
        <v>0</v>
      </c>
      <c r="E171" s="6" t="str">
        <f t="shared" si="125"/>
        <v/>
      </c>
      <c r="F171" s="4"/>
      <c r="G171" s="4"/>
      <c r="H171" s="5">
        <f t="shared" si="126"/>
        <v>0</v>
      </c>
      <c r="I171" s="6" t="str">
        <f t="shared" si="127"/>
        <v/>
      </c>
      <c r="J171" s="5">
        <f t="shared" si="128"/>
        <v>0</v>
      </c>
      <c r="K171" s="5">
        <f t="shared" si="129"/>
        <v>0</v>
      </c>
      <c r="L171" s="5">
        <f t="shared" si="130"/>
        <v>0</v>
      </c>
      <c r="M171" s="6" t="str">
        <f t="shared" si="131"/>
        <v/>
      </c>
      <c r="N171" s="5">
        <f>2456.68</f>
        <v>2456.6799999999998</v>
      </c>
      <c r="O171" s="5">
        <f>2252</f>
        <v>2252</v>
      </c>
      <c r="P171" s="5">
        <f t="shared" si="132"/>
        <v>204.67999999999984</v>
      </c>
      <c r="Q171" s="6">
        <f t="shared" si="133"/>
        <v>1.0908880994671402</v>
      </c>
      <c r="R171" s="4"/>
      <c r="S171" s="4"/>
      <c r="T171" s="5">
        <f t="shared" si="134"/>
        <v>0</v>
      </c>
      <c r="U171" s="6" t="str">
        <f t="shared" si="135"/>
        <v/>
      </c>
      <c r="V171" s="5">
        <f t="shared" si="136"/>
        <v>2456.6799999999998</v>
      </c>
      <c r="W171" s="5">
        <f t="shared" si="137"/>
        <v>2252</v>
      </c>
      <c r="X171" s="5">
        <f t="shared" si="138"/>
        <v>204.67999999999984</v>
      </c>
      <c r="Y171" s="6">
        <f t="shared" si="139"/>
        <v>1.0908880994671402</v>
      </c>
      <c r="Z171" s="4"/>
      <c r="AA171" s="4"/>
      <c r="AB171" s="5">
        <f t="shared" si="140"/>
        <v>0</v>
      </c>
      <c r="AC171" s="6" t="str">
        <f t="shared" si="141"/>
        <v/>
      </c>
      <c r="AD171" s="4"/>
      <c r="AE171" s="4"/>
      <c r="AF171" s="5">
        <f t="shared" si="142"/>
        <v>0</v>
      </c>
      <c r="AG171" s="6" t="str">
        <f t="shared" si="143"/>
        <v/>
      </c>
      <c r="AH171" s="5">
        <f t="shared" si="144"/>
        <v>0</v>
      </c>
      <c r="AI171" s="5">
        <f t="shared" si="145"/>
        <v>0</v>
      </c>
      <c r="AJ171" s="5">
        <f t="shared" si="146"/>
        <v>0</v>
      </c>
      <c r="AK171" s="6" t="str">
        <f t="shared" si="147"/>
        <v/>
      </c>
      <c r="AL171" s="4"/>
      <c r="AM171" s="4"/>
      <c r="AN171" s="5">
        <f t="shared" si="148"/>
        <v>0</v>
      </c>
      <c r="AO171" s="6" t="str">
        <f t="shared" si="149"/>
        <v/>
      </c>
      <c r="AP171" s="5">
        <f t="shared" si="150"/>
        <v>2456.6799999999998</v>
      </c>
      <c r="AQ171" s="5">
        <f t="shared" si="151"/>
        <v>2252</v>
      </c>
      <c r="AR171" s="5">
        <f t="shared" si="152"/>
        <v>204.67999999999984</v>
      </c>
      <c r="AS171" s="6">
        <f t="shared" si="153"/>
        <v>1.0908880994671402</v>
      </c>
    </row>
    <row r="172" spans="1:45" ht="25" x14ac:dyDescent="0.2">
      <c r="A172" s="3" t="s">
        <v>180</v>
      </c>
      <c r="B172" s="5">
        <f>5697.22</f>
        <v>5697.22</v>
      </c>
      <c r="C172" s="5">
        <f>5534.5</f>
        <v>5534.5</v>
      </c>
      <c r="D172" s="5">
        <f t="shared" si="124"/>
        <v>162.72000000000025</v>
      </c>
      <c r="E172" s="6">
        <f t="shared" si="125"/>
        <v>1.0294010299033336</v>
      </c>
      <c r="F172" s="4"/>
      <c r="G172" s="4"/>
      <c r="H172" s="5">
        <f t="shared" si="126"/>
        <v>0</v>
      </c>
      <c r="I172" s="6" t="str">
        <f t="shared" si="127"/>
        <v/>
      </c>
      <c r="J172" s="5">
        <f t="shared" si="128"/>
        <v>5697.22</v>
      </c>
      <c r="K172" s="5">
        <f t="shared" si="129"/>
        <v>5534.5</v>
      </c>
      <c r="L172" s="5">
        <f t="shared" si="130"/>
        <v>162.72000000000025</v>
      </c>
      <c r="M172" s="6">
        <f t="shared" si="131"/>
        <v>1.0294010299033336</v>
      </c>
      <c r="N172" s="5">
        <f>11394.43</f>
        <v>11394.43</v>
      </c>
      <c r="O172" s="5">
        <f>11394</f>
        <v>11394</v>
      </c>
      <c r="P172" s="5">
        <f t="shared" si="132"/>
        <v>0.43000000000029104</v>
      </c>
      <c r="Q172" s="6">
        <f t="shared" si="133"/>
        <v>1.0000377391609618</v>
      </c>
      <c r="R172" s="4"/>
      <c r="S172" s="4"/>
      <c r="T172" s="5">
        <f t="shared" si="134"/>
        <v>0</v>
      </c>
      <c r="U172" s="6" t="str">
        <f t="shared" si="135"/>
        <v/>
      </c>
      <c r="V172" s="5">
        <f t="shared" si="136"/>
        <v>11394.43</v>
      </c>
      <c r="W172" s="5">
        <f t="shared" si="137"/>
        <v>11394</v>
      </c>
      <c r="X172" s="5">
        <f t="shared" si="138"/>
        <v>0.43000000000029104</v>
      </c>
      <c r="Y172" s="6">
        <f t="shared" si="139"/>
        <v>1.0000377391609618</v>
      </c>
      <c r="Z172" s="5">
        <f>20889.8</f>
        <v>20889.8</v>
      </c>
      <c r="AA172" s="5">
        <f>20890</f>
        <v>20890</v>
      </c>
      <c r="AB172" s="5">
        <f t="shared" si="140"/>
        <v>-0.2000000000007276</v>
      </c>
      <c r="AC172" s="6">
        <f t="shared" si="141"/>
        <v>0.99999042604116795</v>
      </c>
      <c r="AD172" s="4"/>
      <c r="AE172" s="4"/>
      <c r="AF172" s="5">
        <f t="shared" si="142"/>
        <v>0</v>
      </c>
      <c r="AG172" s="6" t="str">
        <f t="shared" si="143"/>
        <v/>
      </c>
      <c r="AH172" s="5">
        <f t="shared" si="144"/>
        <v>20889.8</v>
      </c>
      <c r="AI172" s="5">
        <f t="shared" si="145"/>
        <v>20890</v>
      </c>
      <c r="AJ172" s="5">
        <f t="shared" si="146"/>
        <v>-0.2000000000007276</v>
      </c>
      <c r="AK172" s="6">
        <f t="shared" si="147"/>
        <v>0.99999042604116795</v>
      </c>
      <c r="AL172" s="4"/>
      <c r="AM172" s="4"/>
      <c r="AN172" s="5">
        <f t="shared" si="148"/>
        <v>0</v>
      </c>
      <c r="AO172" s="6" t="str">
        <f t="shared" si="149"/>
        <v/>
      </c>
      <c r="AP172" s="5">
        <f t="shared" si="150"/>
        <v>37981.449999999997</v>
      </c>
      <c r="AQ172" s="5">
        <f t="shared" si="151"/>
        <v>37818.5</v>
      </c>
      <c r="AR172" s="5">
        <f t="shared" si="152"/>
        <v>162.94999999999709</v>
      </c>
      <c r="AS172" s="6">
        <f t="shared" si="153"/>
        <v>1.0043087377870619</v>
      </c>
    </row>
    <row r="173" spans="1:45" ht="25" x14ac:dyDescent="0.2">
      <c r="A173" s="3" t="s">
        <v>181</v>
      </c>
      <c r="B173" s="5">
        <f>1550.6</f>
        <v>1550.6</v>
      </c>
      <c r="C173" s="5">
        <f>3263.5</f>
        <v>3263.5</v>
      </c>
      <c r="D173" s="5">
        <f t="shared" si="124"/>
        <v>-1712.9</v>
      </c>
      <c r="E173" s="6">
        <f t="shared" si="125"/>
        <v>0.47513405852612223</v>
      </c>
      <c r="F173" s="4"/>
      <c r="G173" s="4"/>
      <c r="H173" s="5">
        <f t="shared" si="126"/>
        <v>0</v>
      </c>
      <c r="I173" s="6" t="str">
        <f t="shared" si="127"/>
        <v/>
      </c>
      <c r="J173" s="5">
        <f t="shared" si="128"/>
        <v>1550.6</v>
      </c>
      <c r="K173" s="5">
        <f t="shared" si="129"/>
        <v>3263.5</v>
      </c>
      <c r="L173" s="5">
        <f t="shared" si="130"/>
        <v>-1712.9</v>
      </c>
      <c r="M173" s="6">
        <f t="shared" si="131"/>
        <v>0.47513405852612223</v>
      </c>
      <c r="N173" s="5">
        <f>3101.19</f>
        <v>3101.19</v>
      </c>
      <c r="O173" s="5">
        <f>6202</f>
        <v>6202</v>
      </c>
      <c r="P173" s="5">
        <f t="shared" si="132"/>
        <v>-3100.81</v>
      </c>
      <c r="Q173" s="6">
        <f t="shared" si="133"/>
        <v>0.50003063527894231</v>
      </c>
      <c r="R173" s="4"/>
      <c r="S173" s="4"/>
      <c r="T173" s="5">
        <f t="shared" si="134"/>
        <v>0</v>
      </c>
      <c r="U173" s="6" t="str">
        <f t="shared" si="135"/>
        <v/>
      </c>
      <c r="V173" s="5">
        <f t="shared" si="136"/>
        <v>3101.19</v>
      </c>
      <c r="W173" s="5">
        <f t="shared" si="137"/>
        <v>6202</v>
      </c>
      <c r="X173" s="5">
        <f t="shared" si="138"/>
        <v>-3100.81</v>
      </c>
      <c r="Y173" s="6">
        <f t="shared" si="139"/>
        <v>0.50003063527894231</v>
      </c>
      <c r="Z173" s="5">
        <f>5685.52</f>
        <v>5685.52</v>
      </c>
      <c r="AA173" s="5">
        <f>11371</f>
        <v>11371</v>
      </c>
      <c r="AB173" s="5">
        <f t="shared" si="140"/>
        <v>-5685.48</v>
      </c>
      <c r="AC173" s="6">
        <f t="shared" si="141"/>
        <v>0.50000175886025855</v>
      </c>
      <c r="AD173" s="4"/>
      <c r="AE173" s="4"/>
      <c r="AF173" s="5">
        <f t="shared" si="142"/>
        <v>0</v>
      </c>
      <c r="AG173" s="6" t="str">
        <f t="shared" si="143"/>
        <v/>
      </c>
      <c r="AH173" s="5">
        <f t="shared" si="144"/>
        <v>5685.52</v>
      </c>
      <c r="AI173" s="5">
        <f t="shared" si="145"/>
        <v>11371</v>
      </c>
      <c r="AJ173" s="5">
        <f t="shared" si="146"/>
        <v>-5685.48</v>
      </c>
      <c r="AK173" s="6">
        <f t="shared" si="147"/>
        <v>0.50000175886025855</v>
      </c>
      <c r="AL173" s="4"/>
      <c r="AM173" s="4"/>
      <c r="AN173" s="5">
        <f t="shared" si="148"/>
        <v>0</v>
      </c>
      <c r="AO173" s="6" t="str">
        <f t="shared" si="149"/>
        <v/>
      </c>
      <c r="AP173" s="5">
        <f t="shared" si="150"/>
        <v>10337.310000000001</v>
      </c>
      <c r="AQ173" s="5">
        <f t="shared" si="151"/>
        <v>20836.5</v>
      </c>
      <c r="AR173" s="5">
        <f t="shared" si="152"/>
        <v>-10499.189999999999</v>
      </c>
      <c r="AS173" s="6">
        <f t="shared" si="153"/>
        <v>0.49611547044849191</v>
      </c>
    </row>
    <row r="174" spans="1:45" x14ac:dyDescent="0.2">
      <c r="A174" s="3" t="s">
        <v>182</v>
      </c>
      <c r="B174" s="4"/>
      <c r="C174" s="5">
        <f>19573</f>
        <v>19573</v>
      </c>
      <c r="D174" s="5">
        <f t="shared" si="124"/>
        <v>-19573</v>
      </c>
      <c r="E174" s="6">
        <f t="shared" si="125"/>
        <v>0</v>
      </c>
      <c r="F174" s="5">
        <f>20787.3</f>
        <v>20787.3</v>
      </c>
      <c r="G174" s="4"/>
      <c r="H174" s="5">
        <f t="shared" si="126"/>
        <v>20787.3</v>
      </c>
      <c r="I174" s="6" t="str">
        <f t="shared" si="127"/>
        <v/>
      </c>
      <c r="J174" s="5">
        <f t="shared" si="128"/>
        <v>20787.3</v>
      </c>
      <c r="K174" s="5">
        <f t="shared" si="129"/>
        <v>19573</v>
      </c>
      <c r="L174" s="5">
        <f t="shared" si="130"/>
        <v>1214.2999999999993</v>
      </c>
      <c r="M174" s="6">
        <f t="shared" si="131"/>
        <v>1.062039544270168</v>
      </c>
      <c r="N174" s="4"/>
      <c r="O174" s="4"/>
      <c r="P174" s="5">
        <f t="shared" si="132"/>
        <v>0</v>
      </c>
      <c r="Q174" s="6" t="str">
        <f t="shared" si="133"/>
        <v/>
      </c>
      <c r="R174" s="4"/>
      <c r="S174" s="4"/>
      <c r="T174" s="5">
        <f t="shared" si="134"/>
        <v>0</v>
      </c>
      <c r="U174" s="6" t="str">
        <f t="shared" si="135"/>
        <v/>
      </c>
      <c r="V174" s="5">
        <f t="shared" si="136"/>
        <v>0</v>
      </c>
      <c r="W174" s="5">
        <f t="shared" si="137"/>
        <v>0</v>
      </c>
      <c r="X174" s="5">
        <f t="shared" si="138"/>
        <v>0</v>
      </c>
      <c r="Y174" s="6" t="str">
        <f t="shared" si="139"/>
        <v/>
      </c>
      <c r="Z174" s="4"/>
      <c r="AA174" s="4"/>
      <c r="AB174" s="5">
        <f t="shared" si="140"/>
        <v>0</v>
      </c>
      <c r="AC174" s="6" t="str">
        <f t="shared" si="141"/>
        <v/>
      </c>
      <c r="AD174" s="4"/>
      <c r="AE174" s="4"/>
      <c r="AF174" s="5">
        <f t="shared" si="142"/>
        <v>0</v>
      </c>
      <c r="AG174" s="6" t="str">
        <f t="shared" si="143"/>
        <v/>
      </c>
      <c r="AH174" s="5">
        <f t="shared" si="144"/>
        <v>0</v>
      </c>
      <c r="AI174" s="5">
        <f t="shared" si="145"/>
        <v>0</v>
      </c>
      <c r="AJ174" s="5">
        <f t="shared" si="146"/>
        <v>0</v>
      </c>
      <c r="AK174" s="6" t="str">
        <f t="shared" si="147"/>
        <v/>
      </c>
      <c r="AL174" s="4"/>
      <c r="AM174" s="4"/>
      <c r="AN174" s="5">
        <f t="shared" si="148"/>
        <v>0</v>
      </c>
      <c r="AO174" s="6" t="str">
        <f t="shared" si="149"/>
        <v/>
      </c>
      <c r="AP174" s="5">
        <f t="shared" si="150"/>
        <v>20787.3</v>
      </c>
      <c r="AQ174" s="5">
        <f t="shared" si="151"/>
        <v>19573</v>
      </c>
      <c r="AR174" s="5">
        <f t="shared" si="152"/>
        <v>1214.2999999999993</v>
      </c>
      <c r="AS174" s="6">
        <f t="shared" si="153"/>
        <v>1.062039544270168</v>
      </c>
    </row>
    <row r="175" spans="1:45" x14ac:dyDescent="0.2">
      <c r="A175" s="3" t="s">
        <v>183</v>
      </c>
      <c r="B175" s="4"/>
      <c r="C175" s="5">
        <f>2492</f>
        <v>2492</v>
      </c>
      <c r="D175" s="5">
        <f t="shared" si="124"/>
        <v>-2492</v>
      </c>
      <c r="E175" s="6">
        <f t="shared" si="125"/>
        <v>0</v>
      </c>
      <c r="F175" s="5">
        <f>1277.26</f>
        <v>1277.26</v>
      </c>
      <c r="G175" s="4"/>
      <c r="H175" s="5">
        <f t="shared" si="126"/>
        <v>1277.26</v>
      </c>
      <c r="I175" s="6" t="str">
        <f t="shared" si="127"/>
        <v/>
      </c>
      <c r="J175" s="5">
        <f t="shared" si="128"/>
        <v>1277.26</v>
      </c>
      <c r="K175" s="5">
        <f t="shared" si="129"/>
        <v>2492</v>
      </c>
      <c r="L175" s="5">
        <f t="shared" si="130"/>
        <v>-1214.74</v>
      </c>
      <c r="M175" s="6">
        <f t="shared" si="131"/>
        <v>0.51254414125200642</v>
      </c>
      <c r="N175" s="4"/>
      <c r="O175" s="4"/>
      <c r="P175" s="5">
        <f t="shared" si="132"/>
        <v>0</v>
      </c>
      <c r="Q175" s="6" t="str">
        <f t="shared" si="133"/>
        <v/>
      </c>
      <c r="R175" s="4"/>
      <c r="S175" s="4"/>
      <c r="T175" s="5">
        <f t="shared" si="134"/>
        <v>0</v>
      </c>
      <c r="U175" s="6" t="str">
        <f t="shared" si="135"/>
        <v/>
      </c>
      <c r="V175" s="5">
        <f t="shared" si="136"/>
        <v>0</v>
      </c>
      <c r="W175" s="5">
        <f t="shared" si="137"/>
        <v>0</v>
      </c>
      <c r="X175" s="5">
        <f t="shared" si="138"/>
        <v>0</v>
      </c>
      <c r="Y175" s="6" t="str">
        <f t="shared" si="139"/>
        <v/>
      </c>
      <c r="Z175" s="4"/>
      <c r="AA175" s="4"/>
      <c r="AB175" s="5">
        <f t="shared" si="140"/>
        <v>0</v>
      </c>
      <c r="AC175" s="6" t="str">
        <f t="shared" si="141"/>
        <v/>
      </c>
      <c r="AD175" s="4"/>
      <c r="AE175" s="4"/>
      <c r="AF175" s="5">
        <f t="shared" si="142"/>
        <v>0</v>
      </c>
      <c r="AG175" s="6" t="str">
        <f t="shared" si="143"/>
        <v/>
      </c>
      <c r="AH175" s="5">
        <f t="shared" si="144"/>
        <v>0</v>
      </c>
      <c r="AI175" s="5">
        <f t="shared" si="145"/>
        <v>0</v>
      </c>
      <c r="AJ175" s="5">
        <f t="shared" si="146"/>
        <v>0</v>
      </c>
      <c r="AK175" s="6" t="str">
        <f t="shared" si="147"/>
        <v/>
      </c>
      <c r="AL175" s="4"/>
      <c r="AM175" s="4"/>
      <c r="AN175" s="5">
        <f t="shared" si="148"/>
        <v>0</v>
      </c>
      <c r="AO175" s="6" t="str">
        <f t="shared" si="149"/>
        <v/>
      </c>
      <c r="AP175" s="5">
        <f t="shared" si="150"/>
        <v>1277.26</v>
      </c>
      <c r="AQ175" s="5">
        <f t="shared" si="151"/>
        <v>2492</v>
      </c>
      <c r="AR175" s="5">
        <f t="shared" si="152"/>
        <v>-1214.74</v>
      </c>
      <c r="AS175" s="6">
        <f t="shared" si="153"/>
        <v>0.51254414125200642</v>
      </c>
    </row>
    <row r="176" spans="1:45" x14ac:dyDescent="0.2">
      <c r="A176" s="3" t="s">
        <v>184</v>
      </c>
      <c r="B176" s="5">
        <f>44382.96</f>
        <v>44382.96</v>
      </c>
      <c r="C176" s="5">
        <f>45161</f>
        <v>45161</v>
      </c>
      <c r="D176" s="5">
        <f t="shared" si="124"/>
        <v>-778.04000000000087</v>
      </c>
      <c r="E176" s="6">
        <f t="shared" si="125"/>
        <v>0.98277186067624722</v>
      </c>
      <c r="F176" s="4"/>
      <c r="G176" s="4"/>
      <c r="H176" s="5">
        <f t="shared" si="126"/>
        <v>0</v>
      </c>
      <c r="I176" s="6" t="str">
        <f t="shared" si="127"/>
        <v/>
      </c>
      <c r="J176" s="5">
        <f t="shared" si="128"/>
        <v>44382.96</v>
      </c>
      <c r="K176" s="5">
        <f t="shared" si="129"/>
        <v>45161</v>
      </c>
      <c r="L176" s="5">
        <f t="shared" si="130"/>
        <v>-778.04000000000087</v>
      </c>
      <c r="M176" s="6">
        <f t="shared" si="131"/>
        <v>0.98277186067624722</v>
      </c>
      <c r="N176" s="4"/>
      <c r="O176" s="4"/>
      <c r="P176" s="5">
        <f t="shared" si="132"/>
        <v>0</v>
      </c>
      <c r="Q176" s="6" t="str">
        <f t="shared" si="133"/>
        <v/>
      </c>
      <c r="R176" s="4"/>
      <c r="S176" s="4"/>
      <c r="T176" s="5">
        <f t="shared" si="134"/>
        <v>0</v>
      </c>
      <c r="U176" s="6" t="str">
        <f t="shared" si="135"/>
        <v/>
      </c>
      <c r="V176" s="5">
        <f t="shared" si="136"/>
        <v>0</v>
      </c>
      <c r="W176" s="5">
        <f t="shared" si="137"/>
        <v>0</v>
      </c>
      <c r="X176" s="5">
        <f t="shared" si="138"/>
        <v>0</v>
      </c>
      <c r="Y176" s="6" t="str">
        <f t="shared" si="139"/>
        <v/>
      </c>
      <c r="Z176" s="4"/>
      <c r="AA176" s="4"/>
      <c r="AB176" s="5">
        <f t="shared" si="140"/>
        <v>0</v>
      </c>
      <c r="AC176" s="6" t="str">
        <f t="shared" si="141"/>
        <v/>
      </c>
      <c r="AD176" s="4"/>
      <c r="AE176" s="4"/>
      <c r="AF176" s="5">
        <f t="shared" si="142"/>
        <v>0</v>
      </c>
      <c r="AG176" s="6" t="str">
        <f t="shared" si="143"/>
        <v/>
      </c>
      <c r="AH176" s="5">
        <f t="shared" si="144"/>
        <v>0</v>
      </c>
      <c r="AI176" s="5">
        <f t="shared" si="145"/>
        <v>0</v>
      </c>
      <c r="AJ176" s="5">
        <f t="shared" si="146"/>
        <v>0</v>
      </c>
      <c r="AK176" s="6" t="str">
        <f t="shared" si="147"/>
        <v/>
      </c>
      <c r="AL176" s="4"/>
      <c r="AM176" s="4"/>
      <c r="AN176" s="5">
        <f t="shared" si="148"/>
        <v>0</v>
      </c>
      <c r="AO176" s="6" t="str">
        <f t="shared" si="149"/>
        <v/>
      </c>
      <c r="AP176" s="5">
        <f t="shared" si="150"/>
        <v>44382.96</v>
      </c>
      <c r="AQ176" s="5">
        <f t="shared" si="151"/>
        <v>45161</v>
      </c>
      <c r="AR176" s="5">
        <f t="shared" si="152"/>
        <v>-778.04000000000087</v>
      </c>
      <c r="AS176" s="6">
        <f t="shared" si="153"/>
        <v>0.98277186067624722</v>
      </c>
    </row>
    <row r="177" spans="1:45" x14ac:dyDescent="0.2">
      <c r="A177" s="3" t="s">
        <v>185</v>
      </c>
      <c r="B177" s="5">
        <f>38651.8</f>
        <v>38651.800000000003</v>
      </c>
      <c r="C177" s="5">
        <f>12874</f>
        <v>12874</v>
      </c>
      <c r="D177" s="5">
        <f t="shared" si="124"/>
        <v>25777.800000000003</v>
      </c>
      <c r="E177" s="6">
        <f t="shared" si="125"/>
        <v>3.002314742892652</v>
      </c>
      <c r="F177" s="4"/>
      <c r="G177" s="4"/>
      <c r="H177" s="5">
        <f t="shared" si="126"/>
        <v>0</v>
      </c>
      <c r="I177" s="6" t="str">
        <f t="shared" si="127"/>
        <v/>
      </c>
      <c r="J177" s="5">
        <f t="shared" si="128"/>
        <v>38651.800000000003</v>
      </c>
      <c r="K177" s="5">
        <f t="shared" si="129"/>
        <v>12874</v>
      </c>
      <c r="L177" s="5">
        <f t="shared" si="130"/>
        <v>25777.800000000003</v>
      </c>
      <c r="M177" s="6">
        <f t="shared" si="131"/>
        <v>3.002314742892652</v>
      </c>
      <c r="N177" s="4"/>
      <c r="O177" s="4"/>
      <c r="P177" s="5">
        <f t="shared" si="132"/>
        <v>0</v>
      </c>
      <c r="Q177" s="6" t="str">
        <f t="shared" si="133"/>
        <v/>
      </c>
      <c r="R177" s="4"/>
      <c r="S177" s="4"/>
      <c r="T177" s="5">
        <f t="shared" si="134"/>
        <v>0</v>
      </c>
      <c r="U177" s="6" t="str">
        <f t="shared" si="135"/>
        <v/>
      </c>
      <c r="V177" s="5">
        <f t="shared" si="136"/>
        <v>0</v>
      </c>
      <c r="W177" s="5">
        <f t="shared" si="137"/>
        <v>0</v>
      </c>
      <c r="X177" s="5">
        <f t="shared" si="138"/>
        <v>0</v>
      </c>
      <c r="Y177" s="6" t="str">
        <f t="shared" si="139"/>
        <v/>
      </c>
      <c r="Z177" s="4"/>
      <c r="AA177" s="4"/>
      <c r="AB177" s="5">
        <f t="shared" si="140"/>
        <v>0</v>
      </c>
      <c r="AC177" s="6" t="str">
        <f t="shared" si="141"/>
        <v/>
      </c>
      <c r="AD177" s="4"/>
      <c r="AE177" s="4"/>
      <c r="AF177" s="5">
        <f t="shared" si="142"/>
        <v>0</v>
      </c>
      <c r="AG177" s="6" t="str">
        <f t="shared" si="143"/>
        <v/>
      </c>
      <c r="AH177" s="5">
        <f t="shared" si="144"/>
        <v>0</v>
      </c>
      <c r="AI177" s="5">
        <f t="shared" si="145"/>
        <v>0</v>
      </c>
      <c r="AJ177" s="5">
        <f t="shared" si="146"/>
        <v>0</v>
      </c>
      <c r="AK177" s="6" t="str">
        <f t="shared" si="147"/>
        <v/>
      </c>
      <c r="AL177" s="4"/>
      <c r="AM177" s="4"/>
      <c r="AN177" s="5">
        <f t="shared" si="148"/>
        <v>0</v>
      </c>
      <c r="AO177" s="6" t="str">
        <f t="shared" si="149"/>
        <v/>
      </c>
      <c r="AP177" s="5">
        <f t="shared" si="150"/>
        <v>38651.800000000003</v>
      </c>
      <c r="AQ177" s="5">
        <f t="shared" si="151"/>
        <v>12874</v>
      </c>
      <c r="AR177" s="5">
        <f t="shared" si="152"/>
        <v>25777.800000000003</v>
      </c>
      <c r="AS177" s="6">
        <f t="shared" si="153"/>
        <v>3.002314742892652</v>
      </c>
    </row>
    <row r="178" spans="1:45" x14ac:dyDescent="0.2">
      <c r="A178" s="3" t="s">
        <v>186</v>
      </c>
      <c r="B178" s="7">
        <f>((((((((((((B165)+(B166))+(B167))+(B168))+(B169))+(B170))+(B171))+(B172))+(B173))+(B174))+(B175))+(B176))+(B177)</f>
        <v>124273.24</v>
      </c>
      <c r="C178" s="7">
        <f>((((((((((((C165)+(C166))+(C167))+(C168))+(C169))+(C170))+(C171))+(C172))+(C173))+(C174))+(C175))+(C176))+(C177)</f>
        <v>123589</v>
      </c>
      <c r="D178" s="7">
        <f t="shared" si="124"/>
        <v>684.24000000000524</v>
      </c>
      <c r="E178" s="8">
        <f t="shared" si="125"/>
        <v>1.0055364150531196</v>
      </c>
      <c r="F178" s="7">
        <f>((((((((((((F165)+(F166))+(F167))+(F168))+(F169))+(F170))+(F171))+(F172))+(F173))+(F174))+(F175))+(F176))+(F177)</f>
        <v>22064.559999999998</v>
      </c>
      <c r="G178" s="7">
        <f>((((((((((((G165)+(G166))+(G167))+(G168))+(G169))+(G170))+(G171))+(G172))+(G173))+(G174))+(G175))+(G176))+(G177)</f>
        <v>0</v>
      </c>
      <c r="H178" s="7">
        <f t="shared" si="126"/>
        <v>22064.559999999998</v>
      </c>
      <c r="I178" s="8" t="str">
        <f t="shared" si="127"/>
        <v/>
      </c>
      <c r="J178" s="7">
        <f t="shared" si="128"/>
        <v>146337.79999999999</v>
      </c>
      <c r="K178" s="7">
        <f t="shared" si="129"/>
        <v>123589</v>
      </c>
      <c r="L178" s="7">
        <f t="shared" si="130"/>
        <v>22748.799999999988</v>
      </c>
      <c r="M178" s="8">
        <f t="shared" si="131"/>
        <v>1.1840681614059503</v>
      </c>
      <c r="N178" s="7">
        <f>((((((((((((N165)+(N166))+(N167))+(N168))+(N169))+(N170))+(N171))+(N172))+(N173))+(N174))+(N175))+(N176))+(N177)</f>
        <v>28493.77</v>
      </c>
      <c r="O178" s="7">
        <f>((((((((((((O165)+(O166))+(O167))+(O168))+(O169))+(O170))+(O171))+(O172))+(O173))+(O174))+(O175))+(O176))+(O177)</f>
        <v>32600</v>
      </c>
      <c r="P178" s="7">
        <f t="shared" si="132"/>
        <v>-4106.2299999999996</v>
      </c>
      <c r="Q178" s="8">
        <f t="shared" si="133"/>
        <v>0.87404202453987734</v>
      </c>
      <c r="R178" s="7">
        <f>((((((((((((R165)+(R166))+(R167))+(R168))+(R169))+(R170))+(R171))+(R172))+(R173))+(R174))+(R175))+(R176))+(R177)</f>
        <v>0</v>
      </c>
      <c r="S178" s="7">
        <f>((((((((((((S165)+(S166))+(S167))+(S168))+(S169))+(S170))+(S171))+(S172))+(S173))+(S174))+(S175))+(S176))+(S177)</f>
        <v>0</v>
      </c>
      <c r="T178" s="7">
        <f t="shared" si="134"/>
        <v>0</v>
      </c>
      <c r="U178" s="8" t="str">
        <f t="shared" si="135"/>
        <v/>
      </c>
      <c r="V178" s="7">
        <f t="shared" si="136"/>
        <v>28493.77</v>
      </c>
      <c r="W178" s="7">
        <f t="shared" si="137"/>
        <v>32600</v>
      </c>
      <c r="X178" s="7">
        <f t="shared" si="138"/>
        <v>-4106.2299999999996</v>
      </c>
      <c r="Y178" s="8">
        <f t="shared" si="139"/>
        <v>0.87404202453987734</v>
      </c>
      <c r="Z178" s="7">
        <f>((((((((((((Z165)+(Z166))+(Z167))+(Z168))+(Z169))+(Z170))+(Z171))+(Z172))+(Z173))+(Z174))+(Z175))+(Z176))+(Z177)</f>
        <v>26575.32</v>
      </c>
      <c r="AA178" s="7">
        <f>((((((((((((AA165)+(AA166))+(AA167))+(AA168))+(AA169))+(AA170))+(AA171))+(AA172))+(AA173))+(AA174))+(AA175))+(AA176))+(AA177)</f>
        <v>32261</v>
      </c>
      <c r="AB178" s="7">
        <f t="shared" si="140"/>
        <v>-5685.68</v>
      </c>
      <c r="AC178" s="8">
        <f t="shared" si="141"/>
        <v>0.82375995784383615</v>
      </c>
      <c r="AD178" s="7">
        <f>((((((((((((AD165)+(AD166))+(AD167))+(AD168))+(AD169))+(AD170))+(AD171))+(AD172))+(AD173))+(AD174))+(AD175))+(AD176))+(AD177)</f>
        <v>0</v>
      </c>
      <c r="AE178" s="7">
        <f>((((((((((((AE165)+(AE166))+(AE167))+(AE168))+(AE169))+(AE170))+(AE171))+(AE172))+(AE173))+(AE174))+(AE175))+(AE176))+(AE177)</f>
        <v>0</v>
      </c>
      <c r="AF178" s="7">
        <f t="shared" si="142"/>
        <v>0</v>
      </c>
      <c r="AG178" s="8" t="str">
        <f t="shared" si="143"/>
        <v/>
      </c>
      <c r="AH178" s="7">
        <f t="shared" si="144"/>
        <v>26575.32</v>
      </c>
      <c r="AI178" s="7">
        <f t="shared" si="145"/>
        <v>32261</v>
      </c>
      <c r="AJ178" s="7">
        <f t="shared" si="146"/>
        <v>-5685.68</v>
      </c>
      <c r="AK178" s="8">
        <f t="shared" si="147"/>
        <v>0.82375995784383615</v>
      </c>
      <c r="AL178" s="7">
        <f>((((((((((((AL165)+(AL166))+(AL167))+(AL168))+(AL169))+(AL170))+(AL171))+(AL172))+(AL173))+(AL174))+(AL175))+(AL176))+(AL177)</f>
        <v>0</v>
      </c>
      <c r="AM178" s="7">
        <f>((((((((((((AM165)+(AM166))+(AM167))+(AM168))+(AM169))+(AM170))+(AM171))+(AM172))+(AM173))+(AM174))+(AM175))+(AM176))+(AM177)</f>
        <v>0</v>
      </c>
      <c r="AN178" s="7">
        <f t="shared" si="148"/>
        <v>0</v>
      </c>
      <c r="AO178" s="8" t="str">
        <f t="shared" si="149"/>
        <v/>
      </c>
      <c r="AP178" s="7">
        <f t="shared" si="150"/>
        <v>201406.88999999998</v>
      </c>
      <c r="AQ178" s="7">
        <f t="shared" si="151"/>
        <v>188450</v>
      </c>
      <c r="AR178" s="7">
        <f t="shared" si="152"/>
        <v>12956.889999999985</v>
      </c>
      <c r="AS178" s="8">
        <f t="shared" si="153"/>
        <v>1.0687550543910851</v>
      </c>
    </row>
    <row r="179" spans="1:45" x14ac:dyDescent="0.2">
      <c r="A179" s="3" t="s">
        <v>187</v>
      </c>
      <c r="B179" s="7">
        <f>(B164)+(B178)</f>
        <v>337174.76</v>
      </c>
      <c r="C179" s="7">
        <f>(C164)+(C178)</f>
        <v>436939.6</v>
      </c>
      <c r="D179" s="7">
        <f t="shared" si="124"/>
        <v>-99764.839999999967</v>
      </c>
      <c r="E179" s="8">
        <f t="shared" si="125"/>
        <v>0.77167361346968788</v>
      </c>
      <c r="F179" s="7">
        <f>(F164)+(F178)</f>
        <v>26753.649999999998</v>
      </c>
      <c r="G179" s="7">
        <f>(G164)+(G178)</f>
        <v>0</v>
      </c>
      <c r="H179" s="7">
        <f t="shared" si="126"/>
        <v>26753.649999999998</v>
      </c>
      <c r="I179" s="8" t="str">
        <f t="shared" si="127"/>
        <v/>
      </c>
      <c r="J179" s="7">
        <f t="shared" si="128"/>
        <v>363928.41000000003</v>
      </c>
      <c r="K179" s="7">
        <f t="shared" si="129"/>
        <v>436939.6</v>
      </c>
      <c r="L179" s="7">
        <f t="shared" si="130"/>
        <v>-73011.189999999944</v>
      </c>
      <c r="M179" s="8">
        <f t="shared" si="131"/>
        <v>0.83290324337734567</v>
      </c>
      <c r="N179" s="7">
        <f>(N164)+(N178)</f>
        <v>167760.84999999998</v>
      </c>
      <c r="O179" s="7">
        <f>(O164)+(O178)</f>
        <v>244990</v>
      </c>
      <c r="P179" s="7">
        <f t="shared" si="132"/>
        <v>-77229.150000000023</v>
      </c>
      <c r="Q179" s="8">
        <f t="shared" si="133"/>
        <v>0.68476611290256739</v>
      </c>
      <c r="R179" s="7">
        <f>(R164)+(R178)</f>
        <v>2053.1999999999998</v>
      </c>
      <c r="S179" s="7">
        <f>(S164)+(S178)</f>
        <v>0</v>
      </c>
      <c r="T179" s="7">
        <f t="shared" si="134"/>
        <v>2053.1999999999998</v>
      </c>
      <c r="U179" s="8" t="str">
        <f t="shared" si="135"/>
        <v/>
      </c>
      <c r="V179" s="7">
        <f t="shared" si="136"/>
        <v>169814.05</v>
      </c>
      <c r="W179" s="7">
        <f t="shared" si="137"/>
        <v>244990</v>
      </c>
      <c r="X179" s="7">
        <f t="shared" si="138"/>
        <v>-75175.950000000012</v>
      </c>
      <c r="Y179" s="8">
        <f t="shared" si="139"/>
        <v>0.69314686313727081</v>
      </c>
      <c r="Z179" s="7">
        <f>(Z164)+(Z178)</f>
        <v>115780.6</v>
      </c>
      <c r="AA179" s="7">
        <f>(AA164)+(AA178)</f>
        <v>152291</v>
      </c>
      <c r="AB179" s="7">
        <f t="shared" si="140"/>
        <v>-36510.399999999994</v>
      </c>
      <c r="AC179" s="8">
        <f t="shared" si="141"/>
        <v>0.76025897787787855</v>
      </c>
      <c r="AD179" s="7">
        <f>(AD164)+(AD178)</f>
        <v>9298.18</v>
      </c>
      <c r="AE179" s="7">
        <f>(AE164)+(AE178)</f>
        <v>0</v>
      </c>
      <c r="AF179" s="7">
        <f t="shared" si="142"/>
        <v>9298.18</v>
      </c>
      <c r="AG179" s="8" t="str">
        <f t="shared" si="143"/>
        <v/>
      </c>
      <c r="AH179" s="7">
        <f t="shared" si="144"/>
        <v>125078.78</v>
      </c>
      <c r="AI179" s="7">
        <f t="shared" si="145"/>
        <v>152291</v>
      </c>
      <c r="AJ179" s="7">
        <f t="shared" si="146"/>
        <v>-27212.22</v>
      </c>
      <c r="AK179" s="8">
        <f t="shared" si="147"/>
        <v>0.82131432586298603</v>
      </c>
      <c r="AL179" s="7">
        <f>(AL164)+(AL178)</f>
        <v>-728</v>
      </c>
      <c r="AM179" s="7">
        <f>(AM164)+(AM178)</f>
        <v>0</v>
      </c>
      <c r="AN179" s="7">
        <f t="shared" si="148"/>
        <v>-728</v>
      </c>
      <c r="AO179" s="8" t="str">
        <f t="shared" si="149"/>
        <v/>
      </c>
      <c r="AP179" s="7">
        <f t="shared" si="150"/>
        <v>658093.24</v>
      </c>
      <c r="AQ179" s="7">
        <f t="shared" si="151"/>
        <v>834220.6</v>
      </c>
      <c r="AR179" s="7">
        <f t="shared" si="152"/>
        <v>-176127.35999999999</v>
      </c>
      <c r="AS179" s="8">
        <f t="shared" si="153"/>
        <v>0.78887196024648643</v>
      </c>
    </row>
    <row r="180" spans="1:45" x14ac:dyDescent="0.2">
      <c r="A180" s="3" t="s">
        <v>188</v>
      </c>
      <c r="B180" s="7">
        <f>(B57)-(B179)</f>
        <v>-292161.3</v>
      </c>
      <c r="C180" s="7">
        <f>(C57)-(C179)</f>
        <v>2200.4000000000233</v>
      </c>
      <c r="D180" s="7">
        <f t="shared" si="124"/>
        <v>-294361.7</v>
      </c>
      <c r="E180" s="8">
        <f t="shared" si="125"/>
        <v>-132.77644973641014</v>
      </c>
      <c r="F180" s="7">
        <f>(F57)-(F179)</f>
        <v>248132.53</v>
      </c>
      <c r="G180" s="7">
        <f>(G57)-(G179)</f>
        <v>0</v>
      </c>
      <c r="H180" s="7">
        <f t="shared" si="126"/>
        <v>248132.53</v>
      </c>
      <c r="I180" s="8" t="str">
        <f t="shared" si="127"/>
        <v/>
      </c>
      <c r="J180" s="7">
        <f t="shared" si="128"/>
        <v>-44028.76999999999</v>
      </c>
      <c r="K180" s="7">
        <f t="shared" si="129"/>
        <v>2200.4000000000233</v>
      </c>
      <c r="L180" s="7">
        <f t="shared" si="130"/>
        <v>-46229.170000000013</v>
      </c>
      <c r="M180" s="8">
        <f t="shared" si="131"/>
        <v>-20.009439192873806</v>
      </c>
      <c r="N180" s="7">
        <f>(N57)-(N179)</f>
        <v>-63548.669999999984</v>
      </c>
      <c r="O180" s="7">
        <f>(O57)-(O179)</f>
        <v>22970</v>
      </c>
      <c r="P180" s="7">
        <f t="shared" si="132"/>
        <v>-86518.669999999984</v>
      </c>
      <c r="Q180" s="8">
        <f t="shared" si="133"/>
        <v>-2.7665942533739654</v>
      </c>
      <c r="R180" s="7">
        <f>(R57)-(R179)</f>
        <v>27520.829999999998</v>
      </c>
      <c r="S180" s="7">
        <f>(S57)-(S179)</f>
        <v>0</v>
      </c>
      <c r="T180" s="7">
        <f t="shared" si="134"/>
        <v>27520.829999999998</v>
      </c>
      <c r="U180" s="8" t="str">
        <f t="shared" si="135"/>
        <v/>
      </c>
      <c r="V180" s="7">
        <f t="shared" si="136"/>
        <v>-36027.839999999982</v>
      </c>
      <c r="W180" s="7">
        <f t="shared" si="137"/>
        <v>22970</v>
      </c>
      <c r="X180" s="7">
        <f t="shared" si="138"/>
        <v>-58997.839999999982</v>
      </c>
      <c r="Y180" s="8">
        <f t="shared" si="139"/>
        <v>-1.5684736612973436</v>
      </c>
      <c r="Z180" s="7">
        <f>(Z57)-(Z179)</f>
        <v>-66628.450000000012</v>
      </c>
      <c r="AA180" s="7">
        <f>(AA57)-(AA179)</f>
        <v>913</v>
      </c>
      <c r="AB180" s="7">
        <f t="shared" si="140"/>
        <v>-67541.450000000012</v>
      </c>
      <c r="AC180" s="8">
        <f t="shared" si="141"/>
        <v>-72.977491785323124</v>
      </c>
      <c r="AD180" s="7">
        <f>(AD57)-(AD179)</f>
        <v>38347.08</v>
      </c>
      <c r="AE180" s="7">
        <f>(AE57)-(AE179)</f>
        <v>0</v>
      </c>
      <c r="AF180" s="7">
        <f t="shared" si="142"/>
        <v>38347.08</v>
      </c>
      <c r="AG180" s="8" t="str">
        <f t="shared" si="143"/>
        <v/>
      </c>
      <c r="AH180" s="7">
        <f t="shared" si="144"/>
        <v>-28281.37000000001</v>
      </c>
      <c r="AI180" s="7">
        <f t="shared" si="145"/>
        <v>913</v>
      </c>
      <c r="AJ180" s="7">
        <f t="shared" si="146"/>
        <v>-29194.37000000001</v>
      </c>
      <c r="AK180" s="8">
        <f t="shared" si="147"/>
        <v>-30.976308871851053</v>
      </c>
      <c r="AL180" s="7">
        <f>(AL57)-(AL179)</f>
        <v>35047.769999999997</v>
      </c>
      <c r="AM180" s="7">
        <f>(AM57)-(AM179)</f>
        <v>0</v>
      </c>
      <c r="AN180" s="7">
        <f t="shared" si="148"/>
        <v>35047.769999999997</v>
      </c>
      <c r="AO180" s="8" t="str">
        <f t="shared" si="149"/>
        <v/>
      </c>
      <c r="AP180" s="7">
        <f t="shared" si="150"/>
        <v>-73290.209999999992</v>
      </c>
      <c r="AQ180" s="7">
        <f t="shared" si="151"/>
        <v>26083.400000000023</v>
      </c>
      <c r="AR180" s="7">
        <f t="shared" si="152"/>
        <v>-99373.610000000015</v>
      </c>
      <c r="AS180" s="8">
        <f t="shared" si="153"/>
        <v>-2.8098411250067064</v>
      </c>
    </row>
    <row r="181" spans="1:45" x14ac:dyDescent="0.2">
      <c r="A181" s="3" t="s">
        <v>189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</row>
    <row r="182" spans="1:45" x14ac:dyDescent="0.2">
      <c r="A182" s="3" t="s">
        <v>190</v>
      </c>
      <c r="B182" s="4"/>
      <c r="C182" s="4"/>
      <c r="D182" s="5">
        <f t="shared" ref="D182:D187" si="154">(B182)-(C182)</f>
        <v>0</v>
      </c>
      <c r="E182" s="6" t="str">
        <f t="shared" ref="E182:E187" si="155">IF(C182=0,"",(B182)/(C182))</f>
        <v/>
      </c>
      <c r="F182" s="4"/>
      <c r="G182" s="4"/>
      <c r="H182" s="5">
        <f t="shared" ref="H182:H187" si="156">(F182)-(G182)</f>
        <v>0</v>
      </c>
      <c r="I182" s="6" t="str">
        <f t="shared" ref="I182:I187" si="157">IF(G182=0,"",(F182)/(G182))</f>
        <v/>
      </c>
      <c r="J182" s="5">
        <f t="shared" ref="J182:K187" si="158">(B182)+(F182)</f>
        <v>0</v>
      </c>
      <c r="K182" s="5">
        <f t="shared" si="158"/>
        <v>0</v>
      </c>
      <c r="L182" s="5">
        <f t="shared" ref="L182:L187" si="159">(J182)-(K182)</f>
        <v>0</v>
      </c>
      <c r="M182" s="6" t="str">
        <f t="shared" ref="M182:M187" si="160">IF(K182=0,"",(J182)/(K182))</f>
        <v/>
      </c>
      <c r="N182" s="5">
        <f>2893.01</f>
        <v>2893.01</v>
      </c>
      <c r="O182" s="4"/>
      <c r="P182" s="5">
        <f t="shared" ref="P182:P187" si="161">(N182)-(O182)</f>
        <v>2893.01</v>
      </c>
      <c r="Q182" s="6" t="str">
        <f t="shared" ref="Q182:Q187" si="162">IF(O182=0,"",(N182)/(O182))</f>
        <v/>
      </c>
      <c r="R182" s="4"/>
      <c r="S182" s="4"/>
      <c r="T182" s="5">
        <f t="shared" ref="T182:T187" si="163">(R182)-(S182)</f>
        <v>0</v>
      </c>
      <c r="U182" s="6" t="str">
        <f t="shared" ref="U182:U187" si="164">IF(S182=0,"",(R182)/(S182))</f>
        <v/>
      </c>
      <c r="V182" s="5">
        <f t="shared" ref="V182:W187" si="165">(N182)+(R182)</f>
        <v>2893.01</v>
      </c>
      <c r="W182" s="5">
        <f t="shared" si="165"/>
        <v>0</v>
      </c>
      <c r="X182" s="5">
        <f t="shared" ref="X182:X187" si="166">(V182)-(W182)</f>
        <v>2893.01</v>
      </c>
      <c r="Y182" s="6" t="str">
        <f t="shared" ref="Y182:Y187" si="167">IF(W182=0,"",(V182)/(W182))</f>
        <v/>
      </c>
      <c r="Z182" s="4"/>
      <c r="AA182" s="4"/>
      <c r="AB182" s="5">
        <f t="shared" ref="AB182:AB187" si="168">(Z182)-(AA182)</f>
        <v>0</v>
      </c>
      <c r="AC182" s="6" t="str">
        <f t="shared" ref="AC182:AC187" si="169">IF(AA182=0,"",(Z182)/(AA182))</f>
        <v/>
      </c>
      <c r="AD182" s="4"/>
      <c r="AE182" s="4"/>
      <c r="AF182" s="5">
        <f t="shared" ref="AF182:AF187" si="170">(AD182)-(AE182)</f>
        <v>0</v>
      </c>
      <c r="AG182" s="6" t="str">
        <f t="shared" ref="AG182:AG187" si="171">IF(AE182=0,"",(AD182)/(AE182))</f>
        <v/>
      </c>
      <c r="AH182" s="5">
        <f t="shared" ref="AH182:AI187" si="172">(Z182)+(AD182)</f>
        <v>0</v>
      </c>
      <c r="AI182" s="5">
        <f t="shared" si="172"/>
        <v>0</v>
      </c>
      <c r="AJ182" s="5">
        <f t="shared" ref="AJ182:AJ187" si="173">(AH182)-(AI182)</f>
        <v>0</v>
      </c>
      <c r="AK182" s="6" t="str">
        <f t="shared" ref="AK182:AK187" si="174">IF(AI182=0,"",(AH182)/(AI182))</f>
        <v/>
      </c>
      <c r="AL182" s="4"/>
      <c r="AM182" s="4"/>
      <c r="AN182" s="5">
        <f t="shared" ref="AN182:AN187" si="175">(AL182)-(AM182)</f>
        <v>0</v>
      </c>
      <c r="AO182" s="6" t="str">
        <f t="shared" ref="AO182:AO187" si="176">IF(AM182=0,"",(AL182)/(AM182))</f>
        <v/>
      </c>
      <c r="AP182" s="5">
        <f t="shared" ref="AP182:AQ187" si="177">(((J182)+(V182))+(AH182))+(AL182)</f>
        <v>2893.01</v>
      </c>
      <c r="AQ182" s="5">
        <f t="shared" si="177"/>
        <v>0</v>
      </c>
      <c r="AR182" s="5">
        <f t="shared" ref="AR182:AR187" si="178">(AP182)-(AQ182)</f>
        <v>2893.01</v>
      </c>
      <c r="AS182" s="6" t="str">
        <f t="shared" ref="AS182:AS187" si="179">IF(AQ182=0,"",(AP182)/(AQ182))</f>
        <v/>
      </c>
    </row>
    <row r="183" spans="1:45" x14ac:dyDescent="0.2">
      <c r="A183" s="3" t="s">
        <v>191</v>
      </c>
      <c r="B183" s="4"/>
      <c r="C183" s="5">
        <f>10000</f>
        <v>10000</v>
      </c>
      <c r="D183" s="5">
        <f t="shared" si="154"/>
        <v>-10000</v>
      </c>
      <c r="E183" s="6">
        <f t="shared" si="155"/>
        <v>0</v>
      </c>
      <c r="F183" s="4"/>
      <c r="G183" s="4"/>
      <c r="H183" s="5">
        <f t="shared" si="156"/>
        <v>0</v>
      </c>
      <c r="I183" s="6" t="str">
        <f t="shared" si="157"/>
        <v/>
      </c>
      <c r="J183" s="5">
        <f t="shared" si="158"/>
        <v>0</v>
      </c>
      <c r="K183" s="5">
        <f t="shared" si="158"/>
        <v>10000</v>
      </c>
      <c r="L183" s="5">
        <f t="shared" si="159"/>
        <v>-10000</v>
      </c>
      <c r="M183" s="6">
        <f t="shared" si="160"/>
        <v>0</v>
      </c>
      <c r="N183" s="4"/>
      <c r="O183" s="5">
        <f>1070</f>
        <v>1070</v>
      </c>
      <c r="P183" s="5">
        <f t="shared" si="161"/>
        <v>-1070</v>
      </c>
      <c r="Q183" s="6">
        <f t="shared" si="162"/>
        <v>0</v>
      </c>
      <c r="R183" s="4"/>
      <c r="S183" s="4"/>
      <c r="T183" s="5">
        <f t="shared" si="163"/>
        <v>0</v>
      </c>
      <c r="U183" s="6" t="str">
        <f t="shared" si="164"/>
        <v/>
      </c>
      <c r="V183" s="5">
        <f t="shared" si="165"/>
        <v>0</v>
      </c>
      <c r="W183" s="5">
        <f t="shared" si="165"/>
        <v>1070</v>
      </c>
      <c r="X183" s="5">
        <f t="shared" si="166"/>
        <v>-1070</v>
      </c>
      <c r="Y183" s="6">
        <f t="shared" si="167"/>
        <v>0</v>
      </c>
      <c r="Z183" s="4"/>
      <c r="AA183" s="5">
        <f>913</f>
        <v>913</v>
      </c>
      <c r="AB183" s="5">
        <f t="shared" si="168"/>
        <v>-913</v>
      </c>
      <c r="AC183" s="6">
        <f t="shared" si="169"/>
        <v>0</v>
      </c>
      <c r="AD183" s="4"/>
      <c r="AE183" s="4"/>
      <c r="AF183" s="5">
        <f t="shared" si="170"/>
        <v>0</v>
      </c>
      <c r="AG183" s="6" t="str">
        <f t="shared" si="171"/>
        <v/>
      </c>
      <c r="AH183" s="5">
        <f t="shared" si="172"/>
        <v>0</v>
      </c>
      <c r="AI183" s="5">
        <f t="shared" si="172"/>
        <v>913</v>
      </c>
      <c r="AJ183" s="5">
        <f t="shared" si="173"/>
        <v>-913</v>
      </c>
      <c r="AK183" s="6">
        <f t="shared" si="174"/>
        <v>0</v>
      </c>
      <c r="AL183" s="4"/>
      <c r="AM183" s="4"/>
      <c r="AN183" s="5">
        <f t="shared" si="175"/>
        <v>0</v>
      </c>
      <c r="AO183" s="6" t="str">
        <f t="shared" si="176"/>
        <v/>
      </c>
      <c r="AP183" s="5">
        <f t="shared" si="177"/>
        <v>0</v>
      </c>
      <c r="AQ183" s="5">
        <f t="shared" si="177"/>
        <v>11983</v>
      </c>
      <c r="AR183" s="5">
        <f t="shared" si="178"/>
        <v>-11983</v>
      </c>
      <c r="AS183" s="6">
        <f t="shared" si="179"/>
        <v>0</v>
      </c>
    </row>
    <row r="184" spans="1:45" x14ac:dyDescent="0.2">
      <c r="A184" s="3" t="s">
        <v>192</v>
      </c>
      <c r="B184" s="4"/>
      <c r="C184" s="4"/>
      <c r="D184" s="5">
        <f t="shared" si="154"/>
        <v>0</v>
      </c>
      <c r="E184" s="6" t="str">
        <f t="shared" si="155"/>
        <v/>
      </c>
      <c r="F184" s="4"/>
      <c r="G184" s="4"/>
      <c r="H184" s="5">
        <f t="shared" si="156"/>
        <v>0</v>
      </c>
      <c r="I184" s="6" t="str">
        <f t="shared" si="157"/>
        <v/>
      </c>
      <c r="J184" s="5">
        <f t="shared" si="158"/>
        <v>0</v>
      </c>
      <c r="K184" s="5">
        <f t="shared" si="158"/>
        <v>0</v>
      </c>
      <c r="L184" s="5">
        <f t="shared" si="159"/>
        <v>0</v>
      </c>
      <c r="M184" s="6" t="str">
        <f t="shared" si="160"/>
        <v/>
      </c>
      <c r="N184" s="4"/>
      <c r="O184" s="4"/>
      <c r="P184" s="5">
        <f t="shared" si="161"/>
        <v>0</v>
      </c>
      <c r="Q184" s="6" t="str">
        <f t="shared" si="162"/>
        <v/>
      </c>
      <c r="R184" s="4"/>
      <c r="S184" s="4"/>
      <c r="T184" s="5">
        <f t="shared" si="163"/>
        <v>0</v>
      </c>
      <c r="U184" s="6" t="str">
        <f t="shared" si="164"/>
        <v/>
      </c>
      <c r="V184" s="5">
        <f t="shared" si="165"/>
        <v>0</v>
      </c>
      <c r="W184" s="5">
        <f t="shared" si="165"/>
        <v>0</v>
      </c>
      <c r="X184" s="5">
        <f t="shared" si="166"/>
        <v>0</v>
      </c>
      <c r="Y184" s="6" t="str">
        <f t="shared" si="167"/>
        <v/>
      </c>
      <c r="Z184" s="4"/>
      <c r="AA184" s="4"/>
      <c r="AB184" s="5">
        <f t="shared" si="168"/>
        <v>0</v>
      </c>
      <c r="AC184" s="6" t="str">
        <f t="shared" si="169"/>
        <v/>
      </c>
      <c r="AD184" s="4"/>
      <c r="AE184" s="4"/>
      <c r="AF184" s="5">
        <f t="shared" si="170"/>
        <v>0</v>
      </c>
      <c r="AG184" s="6" t="str">
        <f t="shared" si="171"/>
        <v/>
      </c>
      <c r="AH184" s="5">
        <f t="shared" si="172"/>
        <v>0</v>
      </c>
      <c r="AI184" s="5">
        <f t="shared" si="172"/>
        <v>0</v>
      </c>
      <c r="AJ184" s="5">
        <f t="shared" si="173"/>
        <v>0</v>
      </c>
      <c r="AK184" s="6" t="str">
        <f t="shared" si="174"/>
        <v/>
      </c>
      <c r="AL184" s="5">
        <f>9</f>
        <v>9</v>
      </c>
      <c r="AM184" s="4"/>
      <c r="AN184" s="5">
        <f t="shared" si="175"/>
        <v>9</v>
      </c>
      <c r="AO184" s="6" t="str">
        <f t="shared" si="176"/>
        <v/>
      </c>
      <c r="AP184" s="5">
        <f t="shared" si="177"/>
        <v>9</v>
      </c>
      <c r="AQ184" s="5">
        <f t="shared" si="177"/>
        <v>0</v>
      </c>
      <c r="AR184" s="5">
        <f t="shared" si="178"/>
        <v>9</v>
      </c>
      <c r="AS184" s="6" t="str">
        <f t="shared" si="179"/>
        <v/>
      </c>
    </row>
    <row r="185" spans="1:45" x14ac:dyDescent="0.2">
      <c r="A185" s="3" t="s">
        <v>193</v>
      </c>
      <c r="B185" s="7">
        <f>((B182)+(B183))+(B184)</f>
        <v>0</v>
      </c>
      <c r="C185" s="7">
        <f>((C182)+(C183))+(C184)</f>
        <v>10000</v>
      </c>
      <c r="D185" s="7">
        <f t="shared" si="154"/>
        <v>-10000</v>
      </c>
      <c r="E185" s="8">
        <f t="shared" si="155"/>
        <v>0</v>
      </c>
      <c r="F185" s="7">
        <f>((F182)+(F183))+(F184)</f>
        <v>0</v>
      </c>
      <c r="G185" s="7">
        <f>((G182)+(G183))+(G184)</f>
        <v>0</v>
      </c>
      <c r="H185" s="7">
        <f t="shared" si="156"/>
        <v>0</v>
      </c>
      <c r="I185" s="8" t="str">
        <f t="shared" si="157"/>
        <v/>
      </c>
      <c r="J185" s="7">
        <f t="shared" si="158"/>
        <v>0</v>
      </c>
      <c r="K185" s="7">
        <f t="shared" si="158"/>
        <v>10000</v>
      </c>
      <c r="L185" s="7">
        <f t="shared" si="159"/>
        <v>-10000</v>
      </c>
      <c r="M185" s="8">
        <f t="shared" si="160"/>
        <v>0</v>
      </c>
      <c r="N185" s="7">
        <f>((N182)+(N183))+(N184)</f>
        <v>2893.01</v>
      </c>
      <c r="O185" s="7">
        <f>((O182)+(O183))+(O184)</f>
        <v>1070</v>
      </c>
      <c r="P185" s="7">
        <f t="shared" si="161"/>
        <v>1823.0100000000002</v>
      </c>
      <c r="Q185" s="8">
        <f t="shared" si="162"/>
        <v>2.7037476635514022</v>
      </c>
      <c r="R185" s="7">
        <f>((R182)+(R183))+(R184)</f>
        <v>0</v>
      </c>
      <c r="S185" s="7">
        <f>((S182)+(S183))+(S184)</f>
        <v>0</v>
      </c>
      <c r="T185" s="7">
        <f t="shared" si="163"/>
        <v>0</v>
      </c>
      <c r="U185" s="8" t="str">
        <f t="shared" si="164"/>
        <v/>
      </c>
      <c r="V185" s="7">
        <f t="shared" si="165"/>
        <v>2893.01</v>
      </c>
      <c r="W185" s="7">
        <f t="shared" si="165"/>
        <v>1070</v>
      </c>
      <c r="X185" s="7">
        <f t="shared" si="166"/>
        <v>1823.0100000000002</v>
      </c>
      <c r="Y185" s="8">
        <f t="shared" si="167"/>
        <v>2.7037476635514022</v>
      </c>
      <c r="Z185" s="7">
        <f>((Z182)+(Z183))+(Z184)</f>
        <v>0</v>
      </c>
      <c r="AA185" s="7">
        <f>((AA182)+(AA183))+(AA184)</f>
        <v>913</v>
      </c>
      <c r="AB185" s="7">
        <f t="shared" si="168"/>
        <v>-913</v>
      </c>
      <c r="AC185" s="8">
        <f t="shared" si="169"/>
        <v>0</v>
      </c>
      <c r="AD185" s="7">
        <f>((AD182)+(AD183))+(AD184)</f>
        <v>0</v>
      </c>
      <c r="AE185" s="7">
        <f>((AE182)+(AE183))+(AE184)</f>
        <v>0</v>
      </c>
      <c r="AF185" s="7">
        <f t="shared" si="170"/>
        <v>0</v>
      </c>
      <c r="AG185" s="8" t="str">
        <f t="shared" si="171"/>
        <v/>
      </c>
      <c r="AH185" s="7">
        <f t="shared" si="172"/>
        <v>0</v>
      </c>
      <c r="AI185" s="7">
        <f t="shared" si="172"/>
        <v>913</v>
      </c>
      <c r="AJ185" s="7">
        <f t="shared" si="173"/>
        <v>-913</v>
      </c>
      <c r="AK185" s="8">
        <f t="shared" si="174"/>
        <v>0</v>
      </c>
      <c r="AL185" s="7">
        <f>((AL182)+(AL183))+(AL184)</f>
        <v>9</v>
      </c>
      <c r="AM185" s="7">
        <f>((AM182)+(AM183))+(AM184)</f>
        <v>0</v>
      </c>
      <c r="AN185" s="7">
        <f t="shared" si="175"/>
        <v>9</v>
      </c>
      <c r="AO185" s="8" t="str">
        <f t="shared" si="176"/>
        <v/>
      </c>
      <c r="AP185" s="7">
        <f t="shared" si="177"/>
        <v>2902.01</v>
      </c>
      <c r="AQ185" s="7">
        <f t="shared" si="177"/>
        <v>11983</v>
      </c>
      <c r="AR185" s="7">
        <f t="shared" si="178"/>
        <v>-9080.99</v>
      </c>
      <c r="AS185" s="8">
        <f t="shared" si="179"/>
        <v>0.24217725110573313</v>
      </c>
    </row>
    <row r="186" spans="1:45" x14ac:dyDescent="0.2">
      <c r="A186" s="3" t="s">
        <v>194</v>
      </c>
      <c r="B186" s="7">
        <f>(0)-(B185)</f>
        <v>0</v>
      </c>
      <c r="C186" s="7">
        <f>(0)-(C185)</f>
        <v>-10000</v>
      </c>
      <c r="D186" s="7">
        <f t="shared" si="154"/>
        <v>10000</v>
      </c>
      <c r="E186" s="8">
        <f t="shared" si="155"/>
        <v>0</v>
      </c>
      <c r="F186" s="7">
        <f>(0)-(F185)</f>
        <v>0</v>
      </c>
      <c r="G186" s="7">
        <f>(0)-(G185)</f>
        <v>0</v>
      </c>
      <c r="H186" s="7">
        <f t="shared" si="156"/>
        <v>0</v>
      </c>
      <c r="I186" s="8" t="str">
        <f t="shared" si="157"/>
        <v/>
      </c>
      <c r="J186" s="7">
        <f t="shared" si="158"/>
        <v>0</v>
      </c>
      <c r="K186" s="7">
        <f t="shared" si="158"/>
        <v>-10000</v>
      </c>
      <c r="L186" s="7">
        <f t="shared" si="159"/>
        <v>10000</v>
      </c>
      <c r="M186" s="8">
        <f t="shared" si="160"/>
        <v>0</v>
      </c>
      <c r="N186" s="7">
        <f>(0)-(N185)</f>
        <v>-2893.01</v>
      </c>
      <c r="O186" s="7">
        <f>(0)-(O185)</f>
        <v>-1070</v>
      </c>
      <c r="P186" s="7">
        <f t="shared" si="161"/>
        <v>-1823.0100000000002</v>
      </c>
      <c r="Q186" s="8">
        <f t="shared" si="162"/>
        <v>2.7037476635514022</v>
      </c>
      <c r="R186" s="7">
        <f>(0)-(R185)</f>
        <v>0</v>
      </c>
      <c r="S186" s="7">
        <f>(0)-(S185)</f>
        <v>0</v>
      </c>
      <c r="T186" s="7">
        <f t="shared" si="163"/>
        <v>0</v>
      </c>
      <c r="U186" s="8" t="str">
        <f t="shared" si="164"/>
        <v/>
      </c>
      <c r="V186" s="7">
        <f t="shared" si="165"/>
        <v>-2893.01</v>
      </c>
      <c r="W186" s="7">
        <f t="shared" si="165"/>
        <v>-1070</v>
      </c>
      <c r="X186" s="7">
        <f t="shared" si="166"/>
        <v>-1823.0100000000002</v>
      </c>
      <c r="Y186" s="8">
        <f t="shared" si="167"/>
        <v>2.7037476635514022</v>
      </c>
      <c r="Z186" s="7">
        <f>(0)-(Z185)</f>
        <v>0</v>
      </c>
      <c r="AA186" s="7">
        <f>(0)-(AA185)</f>
        <v>-913</v>
      </c>
      <c r="AB186" s="7">
        <f t="shared" si="168"/>
        <v>913</v>
      </c>
      <c r="AC186" s="8">
        <f t="shared" si="169"/>
        <v>0</v>
      </c>
      <c r="AD186" s="7">
        <f>(0)-(AD185)</f>
        <v>0</v>
      </c>
      <c r="AE186" s="7">
        <f>(0)-(AE185)</f>
        <v>0</v>
      </c>
      <c r="AF186" s="7">
        <f t="shared" si="170"/>
        <v>0</v>
      </c>
      <c r="AG186" s="8" t="str">
        <f t="shared" si="171"/>
        <v/>
      </c>
      <c r="AH186" s="7">
        <f t="shared" si="172"/>
        <v>0</v>
      </c>
      <c r="AI186" s="7">
        <f t="shared" si="172"/>
        <v>-913</v>
      </c>
      <c r="AJ186" s="7">
        <f t="shared" si="173"/>
        <v>913</v>
      </c>
      <c r="AK186" s="8">
        <f t="shared" si="174"/>
        <v>0</v>
      </c>
      <c r="AL186" s="7">
        <f>(0)-(AL185)</f>
        <v>-9</v>
      </c>
      <c r="AM186" s="7">
        <f>(0)-(AM185)</f>
        <v>0</v>
      </c>
      <c r="AN186" s="7">
        <f t="shared" si="175"/>
        <v>-9</v>
      </c>
      <c r="AO186" s="8" t="str">
        <f t="shared" si="176"/>
        <v/>
      </c>
      <c r="AP186" s="7">
        <f t="shared" si="177"/>
        <v>-2902.01</v>
      </c>
      <c r="AQ186" s="7">
        <f t="shared" si="177"/>
        <v>-11983</v>
      </c>
      <c r="AR186" s="7">
        <f t="shared" si="178"/>
        <v>9080.99</v>
      </c>
      <c r="AS186" s="8">
        <f t="shared" si="179"/>
        <v>0.24217725110573313</v>
      </c>
    </row>
    <row r="187" spans="1:45" x14ac:dyDescent="0.2">
      <c r="A187" s="3" t="s">
        <v>195</v>
      </c>
      <c r="B187" s="9">
        <f>(B180)+(B186)</f>
        <v>-292161.3</v>
      </c>
      <c r="C187" s="9">
        <f>(C180)+(C186)</f>
        <v>-7799.5999999999767</v>
      </c>
      <c r="D187" s="9">
        <f t="shared" si="154"/>
        <v>-284361.7</v>
      </c>
      <c r="E187" s="10">
        <f t="shared" si="155"/>
        <v>37.458497871685836</v>
      </c>
      <c r="F187" s="9">
        <f>(F180)+(F186)</f>
        <v>248132.53</v>
      </c>
      <c r="G187" s="9">
        <f>(G180)+(G186)</f>
        <v>0</v>
      </c>
      <c r="H187" s="9">
        <f t="shared" si="156"/>
        <v>248132.53</v>
      </c>
      <c r="I187" s="10" t="str">
        <f t="shared" si="157"/>
        <v/>
      </c>
      <c r="J187" s="9">
        <f t="shared" si="158"/>
        <v>-44028.76999999999</v>
      </c>
      <c r="K187" s="9">
        <f t="shared" si="158"/>
        <v>-7799.5999999999767</v>
      </c>
      <c r="L187" s="9">
        <f t="shared" si="159"/>
        <v>-36229.170000000013</v>
      </c>
      <c r="M187" s="10">
        <f t="shared" si="160"/>
        <v>5.645003589927704</v>
      </c>
      <c r="N187" s="9">
        <f>(N180)+(N186)</f>
        <v>-66441.679999999978</v>
      </c>
      <c r="O187" s="9">
        <f>(O180)+(O186)</f>
        <v>21900</v>
      </c>
      <c r="P187" s="9">
        <f t="shared" si="161"/>
        <v>-88341.679999999978</v>
      </c>
      <c r="Q187" s="10">
        <f t="shared" si="162"/>
        <v>-3.0338666666666656</v>
      </c>
      <c r="R187" s="9">
        <f>(R180)+(R186)</f>
        <v>27520.829999999998</v>
      </c>
      <c r="S187" s="9">
        <f>(S180)+(S186)</f>
        <v>0</v>
      </c>
      <c r="T187" s="9">
        <f t="shared" si="163"/>
        <v>27520.829999999998</v>
      </c>
      <c r="U187" s="10" t="str">
        <f t="shared" si="164"/>
        <v/>
      </c>
      <c r="V187" s="9">
        <f t="shared" si="165"/>
        <v>-38920.849999999977</v>
      </c>
      <c r="W187" s="9">
        <f t="shared" si="165"/>
        <v>21900</v>
      </c>
      <c r="X187" s="9">
        <f t="shared" si="166"/>
        <v>-60820.849999999977</v>
      </c>
      <c r="Y187" s="10">
        <f t="shared" si="167"/>
        <v>-1.7772077625570766</v>
      </c>
      <c r="Z187" s="9">
        <f>(Z180)+(Z186)</f>
        <v>-66628.450000000012</v>
      </c>
      <c r="AA187" s="9">
        <f>(AA180)+(AA186)</f>
        <v>0</v>
      </c>
      <c r="AB187" s="9">
        <f t="shared" si="168"/>
        <v>-66628.450000000012</v>
      </c>
      <c r="AC187" s="10" t="str">
        <f t="shared" si="169"/>
        <v/>
      </c>
      <c r="AD187" s="9">
        <f>(AD180)+(AD186)</f>
        <v>38347.08</v>
      </c>
      <c r="AE187" s="9">
        <f>(AE180)+(AE186)</f>
        <v>0</v>
      </c>
      <c r="AF187" s="9">
        <f t="shared" si="170"/>
        <v>38347.08</v>
      </c>
      <c r="AG187" s="10" t="str">
        <f t="shared" si="171"/>
        <v/>
      </c>
      <c r="AH187" s="9">
        <f t="shared" si="172"/>
        <v>-28281.37000000001</v>
      </c>
      <c r="AI187" s="9">
        <f t="shared" si="172"/>
        <v>0</v>
      </c>
      <c r="AJ187" s="9">
        <f t="shared" si="173"/>
        <v>-28281.37000000001</v>
      </c>
      <c r="AK187" s="10" t="str">
        <f t="shared" si="174"/>
        <v/>
      </c>
      <c r="AL187" s="9">
        <f>(AL180)+(AL186)</f>
        <v>35038.769999999997</v>
      </c>
      <c r="AM187" s="9">
        <f>(AM180)+(AM186)</f>
        <v>0</v>
      </c>
      <c r="AN187" s="9">
        <f t="shared" si="175"/>
        <v>35038.769999999997</v>
      </c>
      <c r="AO187" s="10" t="str">
        <f t="shared" si="176"/>
        <v/>
      </c>
      <c r="AP187" s="9">
        <f t="shared" si="177"/>
        <v>-76192.219999999972</v>
      </c>
      <c r="AQ187" s="9">
        <f t="shared" si="177"/>
        <v>14100.400000000023</v>
      </c>
      <c r="AR187" s="9">
        <f t="shared" si="178"/>
        <v>-90292.62</v>
      </c>
      <c r="AS187" s="10">
        <f t="shared" si="179"/>
        <v>-5.4035502538934956</v>
      </c>
    </row>
    <row r="188" spans="1:45" x14ac:dyDescent="0.2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91" spans="1:45" x14ac:dyDescent="0.2">
      <c r="A191" s="104" t="s">
        <v>196</v>
      </c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</row>
  </sheetData>
  <mergeCells count="15">
    <mergeCell ref="AP5:AS5"/>
    <mergeCell ref="A191:AS191"/>
    <mergeCell ref="A1:AS1"/>
    <mergeCell ref="A2:AS2"/>
    <mergeCell ref="A3:AS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  <pageSetup scale="8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CA71-B0D2-824D-B087-38FA30B9DFB1}">
  <dimension ref="A1:H157"/>
  <sheetViews>
    <sheetView topLeftCell="A123" workbookViewId="0">
      <selection activeCell="H1" sqref="H1:H1048576"/>
    </sheetView>
  </sheetViews>
  <sheetFormatPr baseColWidth="10" defaultRowHeight="15" x14ac:dyDescent="0.2"/>
  <cols>
    <col min="1" max="1" width="43.6640625" customWidth="1"/>
    <col min="2" max="6" width="15.83203125" style="11" customWidth="1"/>
    <col min="7" max="7" width="44" customWidth="1"/>
    <col min="8" max="8" width="11.1640625" style="101" bestFit="1" customWidth="1"/>
  </cols>
  <sheetData>
    <row r="1" spans="1:8" ht="18" x14ac:dyDescent="0.2">
      <c r="A1" s="106" t="s">
        <v>197</v>
      </c>
      <c r="B1" s="108"/>
      <c r="C1" s="108"/>
      <c r="D1" s="108"/>
      <c r="E1" s="108"/>
      <c r="F1" s="42"/>
    </row>
    <row r="2" spans="1:8" ht="18" x14ac:dyDescent="0.2">
      <c r="A2" s="106" t="s">
        <v>201</v>
      </c>
      <c r="B2" s="108"/>
      <c r="C2" s="108"/>
      <c r="D2" s="108"/>
      <c r="E2" s="108"/>
      <c r="F2" s="42"/>
    </row>
    <row r="3" spans="1:8" x14ac:dyDescent="0.2">
      <c r="A3" s="109"/>
      <c r="B3" s="110"/>
      <c r="C3" s="110"/>
      <c r="D3" s="110"/>
      <c r="E3" s="110"/>
      <c r="F3" s="42" t="s">
        <v>239</v>
      </c>
      <c r="H3" s="101" t="s">
        <v>271</v>
      </c>
    </row>
    <row r="4" spans="1:8" x14ac:dyDescent="0.2">
      <c r="A4" s="41"/>
      <c r="B4" s="42"/>
      <c r="C4" s="42"/>
      <c r="D4" s="42"/>
      <c r="E4" s="42"/>
      <c r="F4" s="55">
        <v>45281</v>
      </c>
    </row>
    <row r="5" spans="1:8" x14ac:dyDescent="0.2">
      <c r="A5" s="43"/>
      <c r="B5" s="111" t="s">
        <v>6</v>
      </c>
      <c r="C5" s="112"/>
      <c r="D5" s="112"/>
      <c r="E5" s="112"/>
      <c r="F5" s="42"/>
    </row>
    <row r="6" spans="1:8" x14ac:dyDescent="0.2">
      <c r="A6" s="43"/>
      <c r="B6" s="52">
        <v>2020</v>
      </c>
      <c r="C6" s="52">
        <v>2021</v>
      </c>
      <c r="D6" s="52">
        <v>2022</v>
      </c>
      <c r="E6" s="52">
        <v>2023</v>
      </c>
      <c r="F6" s="52">
        <v>2024</v>
      </c>
      <c r="G6" t="s">
        <v>259</v>
      </c>
    </row>
    <row r="7" spans="1:8" ht="16" x14ac:dyDescent="0.2">
      <c r="A7" s="26" t="s">
        <v>15</v>
      </c>
      <c r="B7" s="25"/>
      <c r="C7" s="25"/>
      <c r="D7" s="25"/>
      <c r="E7" s="25"/>
      <c r="F7" s="42"/>
    </row>
    <row r="8" spans="1:8" ht="16" x14ac:dyDescent="0.2">
      <c r="A8" s="26" t="s">
        <v>16</v>
      </c>
      <c r="B8" s="25"/>
      <c r="C8" s="25"/>
      <c r="D8" s="20"/>
      <c r="E8" s="20" t="str">
        <f t="shared" ref="E8:E20" si="0">IF(C8=0,"",(B8)/(C8))</f>
        <v/>
      </c>
      <c r="F8" s="42"/>
    </row>
    <row r="9" spans="1:8" ht="16" x14ac:dyDescent="0.2">
      <c r="A9" s="26" t="s">
        <v>46</v>
      </c>
      <c r="B9" s="25"/>
      <c r="C9" s="25"/>
      <c r="D9" s="20"/>
      <c r="E9" s="20" t="str">
        <f t="shared" si="0"/>
        <v/>
      </c>
      <c r="F9" s="42"/>
    </row>
    <row r="10" spans="1:8" ht="16" x14ac:dyDescent="0.2">
      <c r="A10" s="26" t="s">
        <v>47</v>
      </c>
      <c r="B10" s="20">
        <v>164581</v>
      </c>
      <c r="C10" s="20">
        <v>160866</v>
      </c>
      <c r="D10" s="20">
        <v>161838</v>
      </c>
      <c r="E10" s="20">
        <v>162792</v>
      </c>
      <c r="F10" s="20">
        <v>161000</v>
      </c>
      <c r="H10" s="101">
        <f>IF(F10,(F10-E10)/F10,"")</f>
        <v>-1.1130434782608696E-2</v>
      </c>
    </row>
    <row r="11" spans="1:8" ht="16" x14ac:dyDescent="0.2">
      <c r="A11" s="26" t="s">
        <v>240</v>
      </c>
      <c r="B11" s="20"/>
      <c r="C11" s="20"/>
      <c r="D11" s="20"/>
      <c r="E11" s="20"/>
      <c r="F11" s="20">
        <v>15936</v>
      </c>
      <c r="G11" s="53">
        <v>0.15</v>
      </c>
      <c r="H11" s="101">
        <f t="shared" ref="H11:H74" si="1">IF(F11,(F11-E11)/F11,"")</f>
        <v>1</v>
      </c>
    </row>
    <row r="12" spans="1:8" ht="16" x14ac:dyDescent="0.2">
      <c r="A12" s="26" t="s">
        <v>245</v>
      </c>
      <c r="B12" s="20"/>
      <c r="C12" s="20"/>
      <c r="D12" s="20"/>
      <c r="E12" s="20"/>
      <c r="F12" s="20">
        <v>0</v>
      </c>
      <c r="G12" s="53"/>
      <c r="H12" s="101" t="str">
        <f t="shared" si="1"/>
        <v/>
      </c>
    </row>
    <row r="13" spans="1:8" ht="16" x14ac:dyDescent="0.2">
      <c r="A13" s="26" t="s">
        <v>224</v>
      </c>
      <c r="B13" s="25">
        <v>8908</v>
      </c>
      <c r="C13" s="20">
        <v>8800</v>
      </c>
      <c r="D13" s="20">
        <v>8000</v>
      </c>
      <c r="E13" s="20">
        <v>8000</v>
      </c>
      <c r="F13" s="42">
        <v>7750</v>
      </c>
      <c r="H13" s="101">
        <f t="shared" si="1"/>
        <v>-3.2258064516129031E-2</v>
      </c>
    </row>
    <row r="14" spans="1:8" ht="16" x14ac:dyDescent="0.2">
      <c r="A14" s="26" t="s">
        <v>241</v>
      </c>
      <c r="B14" s="20">
        <v>0</v>
      </c>
      <c r="C14" s="25">
        <v>0</v>
      </c>
      <c r="D14" s="20">
        <v>0</v>
      </c>
      <c r="E14" s="20">
        <v>0</v>
      </c>
      <c r="F14" s="20">
        <v>0</v>
      </c>
      <c r="H14" s="101" t="str">
        <f t="shared" si="1"/>
        <v/>
      </c>
    </row>
    <row r="15" spans="1:8" ht="16" x14ac:dyDescent="0.2">
      <c r="A15" s="26" t="s">
        <v>223</v>
      </c>
      <c r="B15" s="20">
        <v>0</v>
      </c>
      <c r="C15" s="25">
        <v>0</v>
      </c>
      <c r="D15" s="20">
        <v>0</v>
      </c>
      <c r="E15" s="20">
        <v>0</v>
      </c>
      <c r="F15" s="20">
        <v>0</v>
      </c>
      <c r="H15" s="101" t="str">
        <f t="shared" si="1"/>
        <v/>
      </c>
    </row>
    <row r="16" spans="1:8" ht="16" x14ac:dyDescent="0.2">
      <c r="A16" s="26" t="s">
        <v>225</v>
      </c>
      <c r="B16" s="22">
        <f>((B13)+(B14))+(B15)</f>
        <v>8908</v>
      </c>
      <c r="C16" s="22">
        <f>((C13)+(C14))+(C15)</f>
        <v>8800</v>
      </c>
      <c r="D16" s="22">
        <f>((D13)+(D14))+(D15)</f>
        <v>8000</v>
      </c>
      <c r="E16" s="22">
        <f>((E13)+(E14))+(E15)</f>
        <v>8000</v>
      </c>
      <c r="F16" s="22">
        <f>((F13)+(F14))+(F15)</f>
        <v>7750</v>
      </c>
      <c r="H16" s="101">
        <f t="shared" si="1"/>
        <v>-3.2258064516129031E-2</v>
      </c>
    </row>
    <row r="17" spans="1:8" ht="16" x14ac:dyDescent="0.2">
      <c r="A17" s="26" t="s">
        <v>226</v>
      </c>
      <c r="B17" s="25">
        <v>4784</v>
      </c>
      <c r="C17" s="20">
        <v>5315</v>
      </c>
      <c r="D17" s="20">
        <v>5315</v>
      </c>
      <c r="E17" s="20">
        <v>5212</v>
      </c>
      <c r="F17" s="42">
        <v>6279</v>
      </c>
      <c r="H17" s="101">
        <f t="shared" si="1"/>
        <v>0.16993151775760471</v>
      </c>
    </row>
    <row r="18" spans="1:8" ht="16" x14ac:dyDescent="0.2">
      <c r="A18" s="26" t="s">
        <v>237</v>
      </c>
      <c r="B18" s="25">
        <v>650</v>
      </c>
      <c r="C18" s="20">
        <v>0</v>
      </c>
      <c r="D18" s="20">
        <v>0</v>
      </c>
      <c r="E18" s="20">
        <v>0</v>
      </c>
      <c r="F18" s="42">
        <v>0</v>
      </c>
      <c r="H18" s="101" t="str">
        <f t="shared" si="1"/>
        <v/>
      </c>
    </row>
    <row r="19" spans="1:8" ht="16" x14ac:dyDescent="0.2">
      <c r="A19" s="27" t="s">
        <v>227</v>
      </c>
      <c r="B19" s="24">
        <f>(((B9)+(B10))+(B16))+(B17)+B18</f>
        <v>178923</v>
      </c>
      <c r="C19" s="24">
        <f>(((C9)+(C10))+(C16))+(C17)</f>
        <v>174981</v>
      </c>
      <c r="D19" s="24">
        <f>(((D9)+(D10))+(D16))+(D17)</f>
        <v>175153</v>
      </c>
      <c r="E19" s="24">
        <f>E10+E16+E17</f>
        <v>176004</v>
      </c>
      <c r="F19" s="24">
        <f>F10+F16+F17+F11+F12</f>
        <v>190965</v>
      </c>
      <c r="H19" s="101">
        <f t="shared" si="1"/>
        <v>7.8344199198806058E-2</v>
      </c>
    </row>
    <row r="20" spans="1:8" ht="16" x14ac:dyDescent="0.2">
      <c r="A20" s="26" t="s">
        <v>54</v>
      </c>
      <c r="B20" s="25"/>
      <c r="C20" s="25"/>
      <c r="D20" s="20">
        <f t="shared" ref="D20" si="2">(B20)-(C20)</f>
        <v>0</v>
      </c>
      <c r="E20" s="20" t="str">
        <f t="shared" si="0"/>
        <v/>
      </c>
      <c r="F20" s="42"/>
      <c r="H20" s="101" t="str">
        <f t="shared" si="1"/>
        <v/>
      </c>
    </row>
    <row r="21" spans="1:8" ht="16" x14ac:dyDescent="0.2">
      <c r="A21" s="26" t="s">
        <v>258</v>
      </c>
      <c r="B21" s="57"/>
      <c r="C21" s="57"/>
      <c r="D21" s="56"/>
      <c r="E21" s="56"/>
      <c r="F21" s="58">
        <v>2798.32</v>
      </c>
      <c r="G21" t="s">
        <v>260</v>
      </c>
      <c r="H21" s="101">
        <f t="shared" si="1"/>
        <v>1</v>
      </c>
    </row>
    <row r="22" spans="1:8" ht="16" x14ac:dyDescent="0.2">
      <c r="A22" s="26" t="s">
        <v>242</v>
      </c>
      <c r="B22" s="56">
        <v>216</v>
      </c>
      <c r="C22" s="57">
        <v>500</v>
      </c>
      <c r="D22" s="56">
        <v>500</v>
      </c>
      <c r="E22" s="56">
        <v>500</v>
      </c>
      <c r="F22" s="58">
        <v>3000</v>
      </c>
      <c r="H22" s="101">
        <f t="shared" si="1"/>
        <v>0.83333333333333337</v>
      </c>
    </row>
    <row r="23" spans="1:8" ht="16" x14ac:dyDescent="0.2">
      <c r="A23" s="27" t="s">
        <v>56</v>
      </c>
      <c r="B23" s="24">
        <f>SUM(B21:B22)</f>
        <v>216</v>
      </c>
      <c r="C23" s="24">
        <f>SUM(C21:C22)</f>
        <v>500</v>
      </c>
      <c r="D23" s="24">
        <f>SUM(D21:D22)</f>
        <v>500</v>
      </c>
      <c r="E23" s="24">
        <f>SUM(E21:E22)</f>
        <v>500</v>
      </c>
      <c r="F23" s="24">
        <f>SUM(F21:F22)</f>
        <v>5798.32</v>
      </c>
      <c r="H23" s="101">
        <f t="shared" si="1"/>
        <v>0.9137681259399274</v>
      </c>
    </row>
    <row r="24" spans="1:8" ht="16" x14ac:dyDescent="0.2">
      <c r="A24" s="27" t="s">
        <v>57</v>
      </c>
      <c r="B24" s="44">
        <f>B23+B19</f>
        <v>179139</v>
      </c>
      <c r="C24" s="44">
        <f>C23+C19</f>
        <v>175481</v>
      </c>
      <c r="D24" s="44">
        <f>D23+D19</f>
        <v>175653</v>
      </c>
      <c r="E24" s="44">
        <f>E23+E19</f>
        <v>176504</v>
      </c>
      <c r="F24" s="44">
        <f>F23+F19</f>
        <v>196763.32</v>
      </c>
      <c r="H24" s="101">
        <f t="shared" si="1"/>
        <v>0.1029628896280059</v>
      </c>
    </row>
    <row r="25" spans="1:8" ht="16" x14ac:dyDescent="0.2">
      <c r="A25" s="26" t="s">
        <v>60</v>
      </c>
      <c r="B25" s="25"/>
      <c r="C25" s="25"/>
      <c r="D25" s="25"/>
      <c r="E25" s="25"/>
      <c r="F25" s="42"/>
      <c r="H25" s="101" t="str">
        <f t="shared" si="1"/>
        <v/>
      </c>
    </row>
    <row r="26" spans="1:8" ht="16" x14ac:dyDescent="0.2">
      <c r="A26" s="26" t="s">
        <v>61</v>
      </c>
      <c r="B26" s="25"/>
      <c r="C26" s="25"/>
      <c r="D26" s="20"/>
      <c r="E26" s="20" t="str">
        <f>IF(C26=0,"",(B26)/(C26))</f>
        <v/>
      </c>
      <c r="F26" s="42"/>
      <c r="H26" s="101" t="str">
        <f t="shared" si="1"/>
        <v/>
      </c>
    </row>
    <row r="27" spans="1:8" ht="16" x14ac:dyDescent="0.2">
      <c r="A27" s="26" t="s">
        <v>62</v>
      </c>
      <c r="B27" s="20">
        <v>23433</v>
      </c>
      <c r="C27" s="20">
        <v>24300</v>
      </c>
      <c r="D27" s="20">
        <v>24300</v>
      </c>
      <c r="E27" s="20">
        <v>24300</v>
      </c>
      <c r="F27" s="42">
        <v>31500</v>
      </c>
      <c r="H27" s="101">
        <f t="shared" si="1"/>
        <v>0.22857142857142856</v>
      </c>
    </row>
    <row r="28" spans="1:8" ht="16" x14ac:dyDescent="0.2">
      <c r="A28" s="27" t="s">
        <v>63</v>
      </c>
      <c r="B28" s="24">
        <f t="shared" ref="B28:F29" si="3">B27</f>
        <v>23433</v>
      </c>
      <c r="C28" s="24">
        <f t="shared" si="3"/>
        <v>24300</v>
      </c>
      <c r="D28" s="24">
        <f t="shared" si="3"/>
        <v>24300</v>
      </c>
      <c r="E28" s="24">
        <f t="shared" si="3"/>
        <v>24300</v>
      </c>
      <c r="F28" s="24">
        <f t="shared" si="3"/>
        <v>31500</v>
      </c>
      <c r="H28" s="101">
        <f t="shared" si="1"/>
        <v>0.22857142857142856</v>
      </c>
    </row>
    <row r="29" spans="1:8" ht="16" x14ac:dyDescent="0.2">
      <c r="A29" s="26" t="s">
        <v>64</v>
      </c>
      <c r="B29" s="22">
        <f t="shared" si="3"/>
        <v>23433</v>
      </c>
      <c r="C29" s="22">
        <f t="shared" si="3"/>
        <v>24300</v>
      </c>
      <c r="D29" s="22">
        <f t="shared" si="3"/>
        <v>24300</v>
      </c>
      <c r="E29" s="22">
        <f t="shared" si="3"/>
        <v>24300</v>
      </c>
      <c r="F29" s="22">
        <f t="shared" si="3"/>
        <v>31500</v>
      </c>
      <c r="H29" s="101">
        <f t="shared" si="1"/>
        <v>0.22857142857142856</v>
      </c>
    </row>
    <row r="30" spans="1:8" ht="16" x14ac:dyDescent="0.2">
      <c r="A30" s="27" t="s">
        <v>65</v>
      </c>
      <c r="B30" s="24">
        <f>B24-B29</f>
        <v>155706</v>
      </c>
      <c r="C30" s="24">
        <f>C24-C29</f>
        <v>151181</v>
      </c>
      <c r="D30" s="24">
        <f>D24-D29</f>
        <v>151353</v>
      </c>
      <c r="E30" s="24">
        <f>E24-E29</f>
        <v>152204</v>
      </c>
      <c r="F30" s="24">
        <f>F24-F29</f>
        <v>165263.32</v>
      </c>
      <c r="H30" s="101">
        <f t="shared" si="1"/>
        <v>7.90212855460002E-2</v>
      </c>
    </row>
    <row r="31" spans="1:8" ht="16" x14ac:dyDescent="0.2">
      <c r="A31" s="26" t="s">
        <v>66</v>
      </c>
      <c r="B31" s="25"/>
      <c r="C31" s="25"/>
      <c r="D31" s="25"/>
      <c r="E31" s="25"/>
      <c r="F31" s="42"/>
      <c r="H31" s="101" t="str">
        <f t="shared" si="1"/>
        <v/>
      </c>
    </row>
    <row r="32" spans="1:8" ht="16" x14ac:dyDescent="0.2">
      <c r="A32" s="26" t="s">
        <v>67</v>
      </c>
      <c r="B32" s="25"/>
      <c r="C32" s="25"/>
      <c r="D32" s="20"/>
      <c r="E32" s="20" t="str">
        <f t="shared" ref="E32:E92" si="4">IF(C32=0,"",(B32)/(C32))</f>
        <v/>
      </c>
      <c r="F32" s="42"/>
      <c r="H32" s="101" t="str">
        <f t="shared" si="1"/>
        <v/>
      </c>
    </row>
    <row r="33" spans="1:8" ht="16" x14ac:dyDescent="0.2">
      <c r="A33" s="26" t="s">
        <v>68</v>
      </c>
      <c r="B33" s="20" t="s">
        <v>203</v>
      </c>
      <c r="C33" s="25"/>
      <c r="D33" s="20" t="s">
        <v>203</v>
      </c>
      <c r="E33" s="20" t="str">
        <f t="shared" si="4"/>
        <v/>
      </c>
      <c r="F33" s="42"/>
      <c r="H33" s="101" t="str">
        <f t="shared" si="1"/>
        <v/>
      </c>
    </row>
    <row r="34" spans="1:8" ht="16" x14ac:dyDescent="0.2">
      <c r="A34" s="26" t="s">
        <v>69</v>
      </c>
      <c r="B34" s="20">
        <v>472</v>
      </c>
      <c r="C34" s="20">
        <v>6000</v>
      </c>
      <c r="D34" s="20">
        <v>6000</v>
      </c>
      <c r="E34" s="20">
        <v>800</v>
      </c>
      <c r="F34" s="42">
        <v>3000</v>
      </c>
      <c r="H34" s="101">
        <f t="shared" si="1"/>
        <v>0.73333333333333328</v>
      </c>
    </row>
    <row r="35" spans="1:8" ht="16" x14ac:dyDescent="0.2">
      <c r="A35" s="26" t="s">
        <v>70</v>
      </c>
      <c r="B35" s="25"/>
      <c r="C35" s="25"/>
      <c r="D35" s="20">
        <f t="shared" ref="D35:D92" si="5">(B35)-(C35)</f>
        <v>0</v>
      </c>
      <c r="E35" s="20" t="str">
        <f t="shared" si="4"/>
        <v/>
      </c>
      <c r="F35" s="42"/>
      <c r="H35" s="101" t="str">
        <f t="shared" si="1"/>
        <v/>
      </c>
    </row>
    <row r="36" spans="1:8" ht="16" x14ac:dyDescent="0.2">
      <c r="A36" s="26" t="s">
        <v>71</v>
      </c>
      <c r="B36" s="25"/>
      <c r="C36" s="25"/>
      <c r="D36" s="20">
        <f t="shared" si="5"/>
        <v>0</v>
      </c>
      <c r="E36" s="20" t="str">
        <f t="shared" si="4"/>
        <v/>
      </c>
      <c r="F36" s="42"/>
      <c r="H36" s="101" t="str">
        <f t="shared" si="1"/>
        <v/>
      </c>
    </row>
    <row r="37" spans="1:8" ht="16" x14ac:dyDescent="0.2">
      <c r="A37" s="26" t="s">
        <v>72</v>
      </c>
      <c r="B37" s="25"/>
      <c r="C37" s="25"/>
      <c r="D37" s="20">
        <f t="shared" si="5"/>
        <v>0</v>
      </c>
      <c r="E37" s="20" t="str">
        <f t="shared" si="4"/>
        <v/>
      </c>
      <c r="F37" s="42"/>
      <c r="H37" s="101" t="str">
        <f t="shared" si="1"/>
        <v/>
      </c>
    </row>
    <row r="38" spans="1:8" ht="16" x14ac:dyDescent="0.2">
      <c r="A38" s="26" t="s">
        <v>73</v>
      </c>
      <c r="B38" s="60">
        <f>B34</f>
        <v>472</v>
      </c>
      <c r="C38" s="60">
        <f>C34</f>
        <v>6000</v>
      </c>
      <c r="D38" s="60">
        <f>D34</f>
        <v>6000</v>
      </c>
      <c r="E38" s="60">
        <f>E34</f>
        <v>800</v>
      </c>
      <c r="F38" s="60">
        <f>F34</f>
        <v>3000</v>
      </c>
      <c r="H38" s="101">
        <f t="shared" si="1"/>
        <v>0.73333333333333328</v>
      </c>
    </row>
    <row r="39" spans="1:8" ht="16" x14ac:dyDescent="0.2">
      <c r="A39" s="26" t="s">
        <v>74</v>
      </c>
      <c r="B39" s="20">
        <v>1947</v>
      </c>
      <c r="C39" s="20">
        <v>4200</v>
      </c>
      <c r="D39" s="20">
        <v>1300</v>
      </c>
      <c r="E39" s="20">
        <v>6800</v>
      </c>
      <c r="F39" s="42">
        <v>8000</v>
      </c>
      <c r="H39" s="101">
        <f t="shared" si="1"/>
        <v>0.15</v>
      </c>
    </row>
    <row r="40" spans="1:8" ht="16" x14ac:dyDescent="0.2">
      <c r="A40" s="26" t="s">
        <v>75</v>
      </c>
      <c r="B40" s="25">
        <v>0</v>
      </c>
      <c r="C40" s="20">
        <v>600</v>
      </c>
      <c r="D40" s="20">
        <v>3600</v>
      </c>
      <c r="E40" s="20">
        <v>3681</v>
      </c>
      <c r="F40" s="42">
        <v>0</v>
      </c>
      <c r="H40" s="101" t="str">
        <f t="shared" si="1"/>
        <v/>
      </c>
    </row>
    <row r="41" spans="1:8" ht="16" x14ac:dyDescent="0.2">
      <c r="A41" s="26" t="s">
        <v>76</v>
      </c>
      <c r="B41" s="25"/>
      <c r="C41" s="25"/>
      <c r="D41" s="20">
        <f t="shared" si="5"/>
        <v>0</v>
      </c>
      <c r="E41" s="20" t="str">
        <f t="shared" si="4"/>
        <v/>
      </c>
      <c r="F41" s="42"/>
      <c r="H41" s="101" t="str">
        <f t="shared" si="1"/>
        <v/>
      </c>
    </row>
    <row r="42" spans="1:8" ht="16" hidden="1" x14ac:dyDescent="0.2">
      <c r="A42" s="26" t="s">
        <v>77</v>
      </c>
      <c r="B42" s="25"/>
      <c r="C42" s="25"/>
      <c r="D42" s="20">
        <f t="shared" si="5"/>
        <v>0</v>
      </c>
      <c r="E42" s="20" t="str">
        <f t="shared" si="4"/>
        <v/>
      </c>
      <c r="F42" s="42"/>
      <c r="H42" s="101" t="str">
        <f t="shared" si="1"/>
        <v/>
      </c>
    </row>
    <row r="43" spans="1:8" ht="16" x14ac:dyDescent="0.2">
      <c r="A43" s="26" t="s">
        <v>78</v>
      </c>
      <c r="B43" s="20">
        <v>9528</v>
      </c>
      <c r="C43" s="20">
        <v>12855</v>
      </c>
      <c r="D43" s="20">
        <v>12855</v>
      </c>
      <c r="E43" s="20">
        <v>12855</v>
      </c>
      <c r="F43" s="42">
        <v>19540</v>
      </c>
      <c r="H43" s="101">
        <f t="shared" si="1"/>
        <v>0.34211873080859773</v>
      </c>
    </row>
    <row r="44" spans="1:8" ht="16" x14ac:dyDescent="0.2">
      <c r="A44" s="86" t="s">
        <v>79</v>
      </c>
      <c r="B44" s="87">
        <f>B43</f>
        <v>9528</v>
      </c>
      <c r="C44" s="87">
        <f>C43</f>
        <v>12855</v>
      </c>
      <c r="D44" s="87">
        <f>D43</f>
        <v>12855</v>
      </c>
      <c r="E44" s="87">
        <f>E43</f>
        <v>12855</v>
      </c>
      <c r="F44" s="85">
        <f>F43</f>
        <v>19540</v>
      </c>
      <c r="H44" s="101">
        <f t="shared" si="1"/>
        <v>0.34211873080859773</v>
      </c>
    </row>
    <row r="45" spans="1:8" ht="16" x14ac:dyDescent="0.2">
      <c r="A45" s="88" t="s">
        <v>261</v>
      </c>
      <c r="B45" s="84">
        <f>B43+B39+B38</f>
        <v>11947</v>
      </c>
      <c r="C45" s="84">
        <f>C43+C39+C38</f>
        <v>23055</v>
      </c>
      <c r="D45" s="84">
        <f>D43+D39+D38</f>
        <v>20155</v>
      </c>
      <c r="E45" s="84">
        <f>E43+E39+E38</f>
        <v>20455</v>
      </c>
      <c r="F45" s="84">
        <f>F43+F39+F38</f>
        <v>30540</v>
      </c>
      <c r="H45" s="101">
        <f t="shared" si="1"/>
        <v>0.33022265880812052</v>
      </c>
    </row>
    <row r="46" spans="1:8" ht="16" x14ac:dyDescent="0.2">
      <c r="A46" s="26" t="s">
        <v>82</v>
      </c>
      <c r="B46" s="25"/>
      <c r="C46" s="25"/>
      <c r="D46" s="20">
        <f t="shared" si="5"/>
        <v>0</v>
      </c>
      <c r="E46" s="20" t="str">
        <f t="shared" si="4"/>
        <v/>
      </c>
      <c r="F46" s="42"/>
      <c r="H46" s="101" t="str">
        <f t="shared" si="1"/>
        <v/>
      </c>
    </row>
    <row r="47" spans="1:8" ht="16" x14ac:dyDescent="0.2">
      <c r="A47" s="26" t="s">
        <v>83</v>
      </c>
      <c r="B47" s="25"/>
      <c r="C47" s="25"/>
      <c r="D47" s="20">
        <f t="shared" si="5"/>
        <v>0</v>
      </c>
      <c r="E47" s="20" t="str">
        <f t="shared" si="4"/>
        <v/>
      </c>
      <c r="F47" s="42"/>
      <c r="H47" s="101" t="str">
        <f t="shared" si="1"/>
        <v/>
      </c>
    </row>
    <row r="48" spans="1:8" ht="16" x14ac:dyDescent="0.2">
      <c r="A48" s="26" t="s">
        <v>84</v>
      </c>
      <c r="B48" s="25"/>
      <c r="C48" s="25"/>
      <c r="D48" s="20">
        <f t="shared" si="5"/>
        <v>0</v>
      </c>
      <c r="E48" s="20" t="str">
        <f t="shared" si="4"/>
        <v/>
      </c>
      <c r="F48" s="42"/>
      <c r="H48" s="101" t="str">
        <f t="shared" si="1"/>
        <v/>
      </c>
    </row>
    <row r="49" spans="1:8" ht="16" x14ac:dyDescent="0.2">
      <c r="A49" s="26" t="s">
        <v>85</v>
      </c>
      <c r="B49" s="20">
        <v>388</v>
      </c>
      <c r="C49" s="20">
        <v>500</v>
      </c>
      <c r="D49" s="20">
        <v>500</v>
      </c>
      <c r="E49" s="20">
        <v>1000</v>
      </c>
      <c r="F49" s="47">
        <v>1200</v>
      </c>
      <c r="H49" s="101">
        <f t="shared" si="1"/>
        <v>0.16666666666666666</v>
      </c>
    </row>
    <row r="50" spans="1:8" ht="16" x14ac:dyDescent="0.2">
      <c r="A50" s="26" t="s">
        <v>86</v>
      </c>
      <c r="B50" s="60">
        <f>B49</f>
        <v>388</v>
      </c>
      <c r="C50" s="60">
        <f>C49</f>
        <v>500</v>
      </c>
      <c r="D50" s="60">
        <f>D49</f>
        <v>500</v>
      </c>
      <c r="E50" s="60">
        <f>E49</f>
        <v>1000</v>
      </c>
      <c r="F50" s="58">
        <f>F49</f>
        <v>1200</v>
      </c>
      <c r="H50" s="101">
        <f t="shared" si="1"/>
        <v>0.16666666666666666</v>
      </c>
    </row>
    <row r="51" spans="1:8" ht="16" x14ac:dyDescent="0.2">
      <c r="A51" s="26" t="s">
        <v>87</v>
      </c>
      <c r="B51" s="25"/>
      <c r="C51" s="25"/>
      <c r="D51" s="20">
        <f t="shared" si="5"/>
        <v>0</v>
      </c>
      <c r="E51" s="20" t="str">
        <f t="shared" si="4"/>
        <v/>
      </c>
      <c r="F51" s="42"/>
      <c r="H51" s="101" t="str">
        <f t="shared" si="1"/>
        <v/>
      </c>
    </row>
    <row r="52" spans="1:8" ht="16" x14ac:dyDescent="0.2">
      <c r="A52" s="26" t="s">
        <v>88</v>
      </c>
      <c r="B52" s="25"/>
      <c r="C52" s="25"/>
      <c r="D52" s="20">
        <f t="shared" si="5"/>
        <v>0</v>
      </c>
      <c r="E52" s="20" t="str">
        <f t="shared" si="4"/>
        <v/>
      </c>
      <c r="F52" s="42"/>
      <c r="H52" s="101" t="str">
        <f t="shared" si="1"/>
        <v/>
      </c>
    </row>
    <row r="53" spans="1:8" ht="16" x14ac:dyDescent="0.2">
      <c r="A53" s="26" t="s">
        <v>89</v>
      </c>
      <c r="B53" s="20">
        <v>62</v>
      </c>
      <c r="C53" s="20">
        <v>300</v>
      </c>
      <c r="D53" s="20">
        <v>300</v>
      </c>
      <c r="E53" s="20">
        <v>450</v>
      </c>
      <c r="F53" s="42">
        <v>1000</v>
      </c>
      <c r="H53" s="101">
        <f t="shared" si="1"/>
        <v>0.55000000000000004</v>
      </c>
    </row>
    <row r="54" spans="1:8" ht="16" x14ac:dyDescent="0.2">
      <c r="A54" s="26" t="s">
        <v>90</v>
      </c>
      <c r="B54" s="60">
        <f>((B51)+(B52))+(B53)</f>
        <v>62</v>
      </c>
      <c r="C54" s="60">
        <f>((C51)+(C52))+(C53)</f>
        <v>300</v>
      </c>
      <c r="D54" s="60">
        <f>D53</f>
        <v>300</v>
      </c>
      <c r="E54" s="60">
        <f>E53</f>
        <v>450</v>
      </c>
      <c r="F54" s="90">
        <f>F53</f>
        <v>1000</v>
      </c>
      <c r="H54" s="101">
        <f t="shared" si="1"/>
        <v>0.55000000000000004</v>
      </c>
    </row>
    <row r="55" spans="1:8" ht="16" x14ac:dyDescent="0.2">
      <c r="A55" s="26" t="s">
        <v>91</v>
      </c>
      <c r="B55" s="25">
        <v>0</v>
      </c>
      <c r="C55" s="20">
        <v>1000</v>
      </c>
      <c r="D55" s="20">
        <v>1000</v>
      </c>
      <c r="E55" s="20">
        <v>1000</v>
      </c>
      <c r="F55" s="42">
        <v>0</v>
      </c>
      <c r="H55" s="101" t="str">
        <f t="shared" si="1"/>
        <v/>
      </c>
    </row>
    <row r="56" spans="1:8" ht="16" x14ac:dyDescent="0.2">
      <c r="A56" s="27" t="s">
        <v>92</v>
      </c>
      <c r="B56" s="24">
        <f>B55</f>
        <v>0</v>
      </c>
      <c r="C56" s="24">
        <f>C55</f>
        <v>1000</v>
      </c>
      <c r="D56" s="24">
        <f>D55</f>
        <v>1000</v>
      </c>
      <c r="E56" s="24">
        <f>E55</f>
        <v>1000</v>
      </c>
      <c r="F56" s="89">
        <f>F54+F50</f>
        <v>2200</v>
      </c>
      <c r="H56" s="101">
        <f t="shared" si="1"/>
        <v>0.54545454545454541</v>
      </c>
    </row>
    <row r="57" spans="1:8" ht="16" x14ac:dyDescent="0.2">
      <c r="A57" s="26" t="s">
        <v>93</v>
      </c>
      <c r="B57" s="20" t="s">
        <v>203</v>
      </c>
      <c r="C57" s="25"/>
      <c r="D57" s="20" t="s">
        <v>203</v>
      </c>
      <c r="E57" s="20" t="str">
        <f t="shared" si="4"/>
        <v/>
      </c>
      <c r="F57" s="42"/>
      <c r="H57" s="101" t="str">
        <f t="shared" si="1"/>
        <v/>
      </c>
    </row>
    <row r="58" spans="1:8" ht="16" x14ac:dyDescent="0.2">
      <c r="A58" s="26" t="s">
        <v>94</v>
      </c>
      <c r="B58" s="25"/>
      <c r="C58" s="25"/>
      <c r="D58" s="20">
        <f t="shared" si="5"/>
        <v>0</v>
      </c>
      <c r="E58" s="20" t="str">
        <f t="shared" si="4"/>
        <v/>
      </c>
      <c r="F58" s="42"/>
      <c r="H58" s="101" t="str">
        <f t="shared" si="1"/>
        <v/>
      </c>
    </row>
    <row r="59" spans="1:8" ht="16" x14ac:dyDescent="0.2">
      <c r="A59" s="26" t="s">
        <v>95</v>
      </c>
      <c r="B59" s="25"/>
      <c r="C59" s="25"/>
      <c r="D59" s="20">
        <f t="shared" si="5"/>
        <v>0</v>
      </c>
      <c r="E59" s="20" t="str">
        <f t="shared" si="4"/>
        <v/>
      </c>
      <c r="F59" s="42"/>
      <c r="H59" s="101" t="str">
        <f t="shared" si="1"/>
        <v/>
      </c>
    </row>
    <row r="60" spans="1:8" ht="16" x14ac:dyDescent="0.2">
      <c r="A60" s="26" t="s">
        <v>96</v>
      </c>
      <c r="B60" s="20">
        <v>580</v>
      </c>
      <c r="C60" s="20">
        <v>1900</v>
      </c>
      <c r="D60" s="20">
        <v>1100</v>
      </c>
      <c r="E60" s="20">
        <v>1100</v>
      </c>
      <c r="F60" s="42">
        <v>2500</v>
      </c>
      <c r="H60" s="101">
        <f t="shared" si="1"/>
        <v>0.56000000000000005</v>
      </c>
    </row>
    <row r="61" spans="1:8" ht="16" x14ac:dyDescent="0.2">
      <c r="A61" s="26" t="s">
        <v>97</v>
      </c>
      <c r="B61" s="20">
        <v>285</v>
      </c>
      <c r="C61" s="20">
        <v>315</v>
      </c>
      <c r="D61" s="20">
        <v>320</v>
      </c>
      <c r="E61" s="20">
        <v>320</v>
      </c>
      <c r="F61" s="47">
        <v>1000</v>
      </c>
      <c r="H61" s="101">
        <f t="shared" si="1"/>
        <v>0.68</v>
      </c>
    </row>
    <row r="62" spans="1:8" ht="16" x14ac:dyDescent="0.2">
      <c r="A62" s="26" t="s">
        <v>98</v>
      </c>
      <c r="B62" s="60">
        <f>B60+B61</f>
        <v>865</v>
      </c>
      <c r="C62" s="60">
        <f>C60+C61</f>
        <v>2215</v>
      </c>
      <c r="D62" s="60">
        <f>D60+D61</f>
        <v>1420</v>
      </c>
      <c r="E62" s="60">
        <f>E60+E61</f>
        <v>1420</v>
      </c>
      <c r="F62" s="58">
        <f>F60+F61</f>
        <v>3500</v>
      </c>
      <c r="H62" s="101">
        <f t="shared" si="1"/>
        <v>0.59428571428571431</v>
      </c>
    </row>
    <row r="63" spans="1:8" ht="16" x14ac:dyDescent="0.2">
      <c r="A63" s="26" t="s">
        <v>236</v>
      </c>
      <c r="B63" s="25"/>
      <c r="C63" s="25"/>
      <c r="D63" s="20">
        <f t="shared" si="5"/>
        <v>0</v>
      </c>
      <c r="E63" s="20" t="str">
        <f t="shared" si="4"/>
        <v/>
      </c>
      <c r="F63" s="42"/>
      <c r="H63" s="101" t="str">
        <f t="shared" si="1"/>
        <v/>
      </c>
    </row>
    <row r="64" spans="1:8" ht="16" x14ac:dyDescent="0.2">
      <c r="A64" s="26" t="s">
        <v>235</v>
      </c>
      <c r="B64" s="25"/>
      <c r="C64" s="25"/>
      <c r="D64" s="20">
        <f t="shared" si="5"/>
        <v>0</v>
      </c>
      <c r="E64" s="20" t="str">
        <f t="shared" si="4"/>
        <v/>
      </c>
      <c r="F64" s="42"/>
      <c r="H64" s="101" t="str">
        <f t="shared" si="1"/>
        <v/>
      </c>
    </row>
    <row r="65" spans="1:8" ht="16" x14ac:dyDescent="0.2">
      <c r="A65" s="26" t="s">
        <v>234</v>
      </c>
      <c r="B65" s="20">
        <v>18542</v>
      </c>
      <c r="C65" s="20">
        <v>19500</v>
      </c>
      <c r="D65" s="20">
        <v>20085</v>
      </c>
      <c r="E65" s="20">
        <v>29250</v>
      </c>
      <c r="F65" s="42">
        <v>31590</v>
      </c>
      <c r="H65" s="101">
        <f t="shared" si="1"/>
        <v>7.407407407407407E-2</v>
      </c>
    </row>
    <row r="66" spans="1:8" ht="16" x14ac:dyDescent="0.2">
      <c r="A66" s="26" t="s">
        <v>262</v>
      </c>
      <c r="B66" s="20"/>
      <c r="C66" s="20"/>
      <c r="D66" s="20"/>
      <c r="E66" s="20"/>
      <c r="F66" s="42">
        <v>7500</v>
      </c>
      <c r="H66" s="101">
        <f t="shared" si="1"/>
        <v>1</v>
      </c>
    </row>
    <row r="67" spans="1:8" ht="16" hidden="1" x14ac:dyDescent="0.2">
      <c r="A67" s="26" t="s">
        <v>102</v>
      </c>
      <c r="B67" s="25"/>
      <c r="C67" s="25"/>
      <c r="D67" s="20">
        <f t="shared" si="5"/>
        <v>0</v>
      </c>
      <c r="E67" s="20" t="str">
        <f t="shared" si="4"/>
        <v/>
      </c>
      <c r="F67" s="42"/>
      <c r="H67" s="101" t="str">
        <f t="shared" si="1"/>
        <v/>
      </c>
    </row>
    <row r="68" spans="1:8" ht="16" x14ac:dyDescent="0.2">
      <c r="A68" s="26" t="s">
        <v>103</v>
      </c>
      <c r="B68" s="20">
        <v>0</v>
      </c>
      <c r="C68" s="20">
        <v>0</v>
      </c>
      <c r="D68" s="20">
        <v>0</v>
      </c>
      <c r="E68" s="20">
        <v>15477</v>
      </c>
      <c r="F68" s="42">
        <v>16715</v>
      </c>
      <c r="H68" s="101">
        <f t="shared" si="1"/>
        <v>7.4065210888423577E-2</v>
      </c>
    </row>
    <row r="69" spans="1:8" ht="16" hidden="1" x14ac:dyDescent="0.2">
      <c r="A69" s="26" t="s">
        <v>104</v>
      </c>
      <c r="B69" s="25"/>
      <c r="C69" s="25"/>
      <c r="D69" s="20">
        <f t="shared" si="5"/>
        <v>0</v>
      </c>
      <c r="E69" s="20" t="str">
        <f t="shared" si="4"/>
        <v/>
      </c>
      <c r="F69" s="42"/>
      <c r="H69" s="101" t="str">
        <f t="shared" si="1"/>
        <v/>
      </c>
    </row>
    <row r="70" spans="1:8" ht="16" hidden="1" x14ac:dyDescent="0.2">
      <c r="A70" s="26" t="s">
        <v>105</v>
      </c>
      <c r="B70" s="25"/>
      <c r="C70" s="25"/>
      <c r="D70" s="20">
        <f t="shared" si="5"/>
        <v>0</v>
      </c>
      <c r="E70" s="20" t="str">
        <f t="shared" si="4"/>
        <v/>
      </c>
      <c r="F70" s="42"/>
      <c r="H70" s="101" t="str">
        <f t="shared" si="1"/>
        <v/>
      </c>
    </row>
    <row r="71" spans="1:8" ht="16" x14ac:dyDescent="0.2">
      <c r="A71" s="26" t="s">
        <v>106</v>
      </c>
      <c r="B71" s="20">
        <v>5405</v>
      </c>
      <c r="C71" s="20">
        <v>4100</v>
      </c>
      <c r="D71" s="20">
        <v>4100</v>
      </c>
      <c r="E71" s="20">
        <v>3170</v>
      </c>
      <c r="F71" s="42">
        <v>3750</v>
      </c>
      <c r="H71" s="101">
        <f t="shared" si="1"/>
        <v>0.15466666666666667</v>
      </c>
    </row>
    <row r="72" spans="1:8" ht="16" hidden="1" x14ac:dyDescent="0.2">
      <c r="A72" s="26" t="s">
        <v>107</v>
      </c>
      <c r="B72" s="25"/>
      <c r="C72" s="25"/>
      <c r="D72" s="20">
        <f t="shared" si="5"/>
        <v>0</v>
      </c>
      <c r="E72" s="20" t="str">
        <f t="shared" si="4"/>
        <v/>
      </c>
      <c r="F72" s="42"/>
      <c r="H72" s="101" t="str">
        <f t="shared" si="1"/>
        <v/>
      </c>
    </row>
    <row r="73" spans="1:8" ht="16" hidden="1" x14ac:dyDescent="0.2">
      <c r="A73" s="26" t="s">
        <v>108</v>
      </c>
      <c r="B73" s="25"/>
      <c r="C73" s="25"/>
      <c r="D73" s="20">
        <f t="shared" si="5"/>
        <v>0</v>
      </c>
      <c r="E73" s="20" t="str">
        <f t="shared" si="4"/>
        <v/>
      </c>
      <c r="F73" s="42"/>
      <c r="H73" s="101" t="str">
        <f t="shared" si="1"/>
        <v/>
      </c>
    </row>
    <row r="74" spans="1:8" ht="16" hidden="1" x14ac:dyDescent="0.2">
      <c r="A74" s="26" t="s">
        <v>109</v>
      </c>
      <c r="B74" s="25"/>
      <c r="C74" s="25"/>
      <c r="D74" s="20">
        <f t="shared" si="5"/>
        <v>0</v>
      </c>
      <c r="E74" s="20" t="str">
        <f t="shared" si="4"/>
        <v/>
      </c>
      <c r="F74" s="42"/>
      <c r="H74" s="101" t="str">
        <f t="shared" si="1"/>
        <v/>
      </c>
    </row>
    <row r="75" spans="1:8" ht="16" x14ac:dyDescent="0.2">
      <c r="A75" s="26" t="s">
        <v>228</v>
      </c>
      <c r="B75" s="60">
        <f>B65+B71</f>
        <v>23947</v>
      </c>
      <c r="C75" s="60">
        <f>C65+C71</f>
        <v>23600</v>
      </c>
      <c r="D75" s="60">
        <f>D65+D71</f>
        <v>24185</v>
      </c>
      <c r="E75" s="60">
        <f>E65+E71</f>
        <v>32420</v>
      </c>
      <c r="F75" s="60">
        <f>F65+F71+F66+F68</f>
        <v>59555</v>
      </c>
      <c r="H75" s="101">
        <f t="shared" ref="H75:H138" si="6">IF(F75,(F75-E75)/F75,"")</f>
        <v>0.455629250272857</v>
      </c>
    </row>
    <row r="76" spans="1:8" ht="16" x14ac:dyDescent="0.2">
      <c r="A76" s="26" t="s">
        <v>111</v>
      </c>
      <c r="B76" s="20">
        <v>715</v>
      </c>
      <c r="C76" s="20">
        <v>765</v>
      </c>
      <c r="D76" s="20">
        <v>750</v>
      </c>
      <c r="E76" s="20">
        <v>1100</v>
      </c>
      <c r="F76" s="42">
        <v>1100</v>
      </c>
      <c r="H76" s="101">
        <f t="shared" si="6"/>
        <v>0</v>
      </c>
    </row>
    <row r="77" spans="1:8" ht="16" x14ac:dyDescent="0.2">
      <c r="A77" s="26" t="s">
        <v>112</v>
      </c>
      <c r="B77" s="20">
        <v>1731</v>
      </c>
      <c r="C77" s="20">
        <v>4500</v>
      </c>
      <c r="D77" s="20">
        <v>1800</v>
      </c>
      <c r="E77" s="20">
        <v>6000</v>
      </c>
      <c r="F77" s="42">
        <v>6000</v>
      </c>
      <c r="H77" s="101">
        <f t="shared" si="6"/>
        <v>0</v>
      </c>
    </row>
    <row r="78" spans="1:8" ht="16" x14ac:dyDescent="0.2">
      <c r="A78" s="92" t="s">
        <v>229</v>
      </c>
      <c r="B78" s="60">
        <f>B76+B77</f>
        <v>2446</v>
      </c>
      <c r="C78" s="60">
        <f>C76+C77</f>
        <v>5265</v>
      </c>
      <c r="D78" s="60">
        <f>D76+D77</f>
        <v>2550</v>
      </c>
      <c r="E78" s="60">
        <f>E76+E77</f>
        <v>7100</v>
      </c>
      <c r="F78" s="93">
        <f>F76+F77</f>
        <v>7100</v>
      </c>
      <c r="H78" s="101">
        <f t="shared" si="6"/>
        <v>0</v>
      </c>
    </row>
    <row r="79" spans="1:8" ht="16" x14ac:dyDescent="0.2">
      <c r="A79" s="83" t="s">
        <v>263</v>
      </c>
      <c r="B79" s="89">
        <f>B78+B75+B62</f>
        <v>27258</v>
      </c>
      <c r="C79" s="89">
        <f>C78+C75+C62</f>
        <v>31080</v>
      </c>
      <c r="D79" s="89">
        <f>D78+D75+D62</f>
        <v>28155</v>
      </c>
      <c r="E79" s="89">
        <f>E78+E75+E62</f>
        <v>40940</v>
      </c>
      <c r="F79" s="89">
        <f>F78+F75+F62</f>
        <v>70155</v>
      </c>
      <c r="H79" s="101">
        <f t="shared" si="6"/>
        <v>0.41643503670444015</v>
      </c>
    </row>
    <row r="80" spans="1:8" ht="16" x14ac:dyDescent="0.2">
      <c r="A80" s="26" t="s">
        <v>114</v>
      </c>
      <c r="B80" s="20"/>
      <c r="C80" s="25"/>
      <c r="D80" s="20">
        <f t="shared" si="5"/>
        <v>0</v>
      </c>
      <c r="E80" s="20" t="str">
        <f t="shared" si="4"/>
        <v/>
      </c>
      <c r="F80" s="42"/>
      <c r="H80" s="101" t="str">
        <f t="shared" si="6"/>
        <v/>
      </c>
    </row>
    <row r="81" spans="1:8" ht="16" x14ac:dyDescent="0.2">
      <c r="A81" s="26" t="s">
        <v>115</v>
      </c>
      <c r="B81" s="25"/>
      <c r="C81" s="25"/>
      <c r="D81" s="20">
        <f t="shared" si="5"/>
        <v>0</v>
      </c>
      <c r="E81" s="20" t="str">
        <f t="shared" si="4"/>
        <v/>
      </c>
      <c r="F81" s="42"/>
      <c r="H81" s="101" t="str">
        <f t="shared" si="6"/>
        <v/>
      </c>
    </row>
    <row r="82" spans="1:8" ht="16" x14ac:dyDescent="0.2">
      <c r="A82" s="26" t="s">
        <v>116</v>
      </c>
      <c r="B82" s="25">
        <v>1525</v>
      </c>
      <c r="C82" s="20">
        <v>1575</v>
      </c>
      <c r="D82" s="20">
        <v>1625</v>
      </c>
      <c r="E82" s="20">
        <v>1625</v>
      </c>
      <c r="F82" s="42">
        <v>1625</v>
      </c>
      <c r="H82" s="101">
        <f t="shared" si="6"/>
        <v>0</v>
      </c>
    </row>
    <row r="83" spans="1:8" ht="16" x14ac:dyDescent="0.2">
      <c r="A83" s="26" t="s">
        <v>117</v>
      </c>
      <c r="B83" s="20">
        <v>930</v>
      </c>
      <c r="C83" s="20">
        <v>750</v>
      </c>
      <c r="D83" s="20">
        <v>750</v>
      </c>
      <c r="E83" s="20">
        <v>750</v>
      </c>
      <c r="F83" s="42">
        <v>1000</v>
      </c>
      <c r="H83" s="101">
        <f t="shared" si="6"/>
        <v>0.25</v>
      </c>
    </row>
    <row r="84" spans="1:8" ht="16" x14ac:dyDescent="0.2">
      <c r="A84" s="27" t="s">
        <v>118</v>
      </c>
      <c r="B84" s="24">
        <f>B82+B83</f>
        <v>2455</v>
      </c>
      <c r="C84" s="24">
        <f>C82+C83</f>
        <v>2325</v>
      </c>
      <c r="D84" s="24">
        <f>D82+D83</f>
        <v>2375</v>
      </c>
      <c r="E84" s="24">
        <f>E82+E83</f>
        <v>2375</v>
      </c>
      <c r="F84" s="24">
        <f>F82+F83</f>
        <v>2625</v>
      </c>
      <c r="H84" s="101">
        <f t="shared" si="6"/>
        <v>9.5238095238095233E-2</v>
      </c>
    </row>
    <row r="85" spans="1:8" ht="16" x14ac:dyDescent="0.2">
      <c r="A85" s="26" t="s">
        <v>119</v>
      </c>
      <c r="B85" s="25"/>
      <c r="C85" s="25"/>
      <c r="D85" s="20">
        <f t="shared" si="5"/>
        <v>0</v>
      </c>
      <c r="E85" s="20" t="str">
        <f t="shared" si="4"/>
        <v/>
      </c>
      <c r="F85" s="42"/>
      <c r="H85" s="101" t="str">
        <f t="shared" si="6"/>
        <v/>
      </c>
    </row>
    <row r="86" spans="1:8" ht="16" x14ac:dyDescent="0.2">
      <c r="A86" s="26" t="s">
        <v>120</v>
      </c>
      <c r="B86" s="20">
        <v>5150</v>
      </c>
      <c r="C86" s="20">
        <v>4600</v>
      </c>
      <c r="D86" s="20">
        <v>4600</v>
      </c>
      <c r="E86" s="20">
        <v>4600</v>
      </c>
      <c r="F86" s="42">
        <v>4600</v>
      </c>
      <c r="H86" s="101">
        <f t="shared" si="6"/>
        <v>0</v>
      </c>
    </row>
    <row r="87" spans="1:8" ht="16" x14ac:dyDescent="0.2">
      <c r="A87" s="26" t="s">
        <v>121</v>
      </c>
      <c r="B87" s="25"/>
      <c r="C87" s="25"/>
      <c r="D87" s="20">
        <f t="shared" si="5"/>
        <v>0</v>
      </c>
      <c r="E87" s="20" t="str">
        <f t="shared" si="4"/>
        <v/>
      </c>
      <c r="F87" s="47"/>
      <c r="H87" s="101" t="str">
        <f t="shared" si="6"/>
        <v/>
      </c>
    </row>
    <row r="88" spans="1:8" ht="16" x14ac:dyDescent="0.2">
      <c r="A88" s="27" t="s">
        <v>230</v>
      </c>
      <c r="B88" s="24">
        <f>((B85)+(B86))+(B87)</f>
        <v>5150</v>
      </c>
      <c r="C88" s="24">
        <f>((C85)+(C86))+(C87)</f>
        <v>4600</v>
      </c>
      <c r="D88" s="24">
        <f>D86</f>
        <v>4600</v>
      </c>
      <c r="E88" s="24">
        <f>E86</f>
        <v>4600</v>
      </c>
      <c r="F88" s="44">
        <f>F86</f>
        <v>4600</v>
      </c>
      <c r="H88" s="101">
        <f t="shared" si="6"/>
        <v>0</v>
      </c>
    </row>
    <row r="89" spans="1:8" ht="16" x14ac:dyDescent="0.2">
      <c r="A89" s="27" t="s">
        <v>123</v>
      </c>
      <c r="B89" s="29">
        <v>1786</v>
      </c>
      <c r="C89" s="29">
        <v>1750</v>
      </c>
      <c r="D89" s="29">
        <v>1800</v>
      </c>
      <c r="E89" s="29">
        <v>1800</v>
      </c>
      <c r="F89" s="44">
        <v>200</v>
      </c>
      <c r="H89" s="101">
        <f t="shared" si="6"/>
        <v>-8</v>
      </c>
    </row>
    <row r="90" spans="1:8" ht="16" hidden="1" x14ac:dyDescent="0.2">
      <c r="A90" s="26" t="s">
        <v>124</v>
      </c>
      <c r="B90" s="25"/>
      <c r="C90" s="25"/>
      <c r="D90" s="20">
        <f t="shared" si="5"/>
        <v>0</v>
      </c>
      <c r="E90" s="20" t="str">
        <f t="shared" si="4"/>
        <v/>
      </c>
      <c r="F90" s="42"/>
      <c r="H90" s="101" t="str">
        <f t="shared" si="6"/>
        <v/>
      </c>
    </row>
    <row r="91" spans="1:8" ht="16" hidden="1" x14ac:dyDescent="0.2">
      <c r="A91" s="26" t="s">
        <v>125</v>
      </c>
      <c r="B91" s="25"/>
      <c r="C91" s="25"/>
      <c r="D91" s="20">
        <f t="shared" si="5"/>
        <v>0</v>
      </c>
      <c r="E91" s="20" t="str">
        <f t="shared" si="4"/>
        <v/>
      </c>
      <c r="F91" s="42"/>
      <c r="H91" s="101" t="str">
        <f t="shared" si="6"/>
        <v/>
      </c>
    </row>
    <row r="92" spans="1:8" ht="16" hidden="1" x14ac:dyDescent="0.2">
      <c r="A92" s="26" t="s">
        <v>126</v>
      </c>
      <c r="B92" s="22">
        <f>(B90)+(B91)</f>
        <v>0</v>
      </c>
      <c r="C92" s="22">
        <f>(C90)+(C91)</f>
        <v>0</v>
      </c>
      <c r="D92" s="22">
        <f t="shared" si="5"/>
        <v>0</v>
      </c>
      <c r="E92" s="22" t="str">
        <f t="shared" si="4"/>
        <v/>
      </c>
      <c r="F92" s="94"/>
      <c r="H92" s="101" t="str">
        <f t="shared" si="6"/>
        <v/>
      </c>
    </row>
    <row r="93" spans="1:8" ht="16" x14ac:dyDescent="0.2">
      <c r="A93" s="26" t="s">
        <v>265</v>
      </c>
      <c r="B93" s="95"/>
      <c r="C93" s="95"/>
      <c r="D93" s="95"/>
      <c r="E93" s="95"/>
      <c r="F93" s="48"/>
      <c r="H93" s="101" t="str">
        <f t="shared" si="6"/>
        <v/>
      </c>
    </row>
    <row r="94" spans="1:8" ht="16" x14ac:dyDescent="0.2">
      <c r="A94" s="26" t="s">
        <v>127</v>
      </c>
      <c r="B94" s="25">
        <v>200</v>
      </c>
      <c r="C94" s="20">
        <f>234</f>
        <v>234</v>
      </c>
      <c r="D94" s="20">
        <v>234</v>
      </c>
      <c r="E94" s="20">
        <v>234</v>
      </c>
      <c r="F94" s="42">
        <v>300</v>
      </c>
      <c r="H94" s="101">
        <f t="shared" si="6"/>
        <v>0.22</v>
      </c>
    </row>
    <row r="95" spans="1:8" ht="16" x14ac:dyDescent="0.2">
      <c r="A95" s="26" t="s">
        <v>128</v>
      </c>
      <c r="B95" s="20">
        <v>677</v>
      </c>
      <c r="C95" s="20">
        <v>750</v>
      </c>
      <c r="D95" s="20">
        <v>800</v>
      </c>
      <c r="E95" s="20">
        <v>920</v>
      </c>
      <c r="F95" s="42">
        <v>1000</v>
      </c>
      <c r="H95" s="101">
        <f t="shared" si="6"/>
        <v>0.08</v>
      </c>
    </row>
    <row r="96" spans="1:8" ht="16" x14ac:dyDescent="0.2">
      <c r="A96" s="26" t="s">
        <v>129</v>
      </c>
      <c r="B96" s="20">
        <v>270</v>
      </c>
      <c r="C96" s="20">
        <v>250</v>
      </c>
      <c r="D96" s="20">
        <v>275</v>
      </c>
      <c r="E96" s="20">
        <v>300</v>
      </c>
      <c r="F96" s="42">
        <v>800</v>
      </c>
      <c r="H96" s="101">
        <f t="shared" si="6"/>
        <v>0.625</v>
      </c>
    </row>
    <row r="97" spans="1:8" ht="16" x14ac:dyDescent="0.2">
      <c r="A97" s="27" t="s">
        <v>266</v>
      </c>
      <c r="B97" s="84">
        <f>SUM(B94:B96)</f>
        <v>1147</v>
      </c>
      <c r="C97" s="84">
        <f>SUM(C94:C96)</f>
        <v>1234</v>
      </c>
      <c r="D97" s="84">
        <f>SUM(D94:D96)</f>
        <v>1309</v>
      </c>
      <c r="E97" s="84">
        <f>SUM(E94:E96)</f>
        <v>1454</v>
      </c>
      <c r="F97" s="84">
        <f>SUM(F94:F96)</f>
        <v>2100</v>
      </c>
      <c r="H97" s="101">
        <f t="shared" si="6"/>
        <v>0.30761904761904763</v>
      </c>
    </row>
    <row r="98" spans="1:8" ht="16" x14ac:dyDescent="0.2">
      <c r="A98" s="27" t="s">
        <v>130</v>
      </c>
      <c r="B98" s="79">
        <v>1786</v>
      </c>
      <c r="C98" s="98">
        <v>1750</v>
      </c>
      <c r="D98" s="79">
        <v>1800</v>
      </c>
      <c r="E98" s="79">
        <v>1800</v>
      </c>
      <c r="F98" s="46">
        <v>200</v>
      </c>
      <c r="H98" s="101">
        <f t="shared" si="6"/>
        <v>-8</v>
      </c>
    </row>
    <row r="99" spans="1:8" ht="16" x14ac:dyDescent="0.2">
      <c r="A99" s="27" t="s">
        <v>131</v>
      </c>
      <c r="B99" s="96">
        <f>3000</f>
        <v>3000</v>
      </c>
      <c r="C99" s="96">
        <f>3000</f>
        <v>3000</v>
      </c>
      <c r="D99" s="96">
        <v>3000</v>
      </c>
      <c r="E99" s="96">
        <v>3000</v>
      </c>
      <c r="F99" s="97">
        <v>0</v>
      </c>
      <c r="H99" s="101" t="str">
        <f t="shared" si="6"/>
        <v/>
      </c>
    </row>
    <row r="100" spans="1:8" ht="16" x14ac:dyDescent="0.2">
      <c r="A100" s="26" t="s">
        <v>132</v>
      </c>
      <c r="B100" s="39"/>
      <c r="C100" s="38"/>
      <c r="D100" s="20"/>
      <c r="E100" s="38" t="str">
        <f t="shared" ref="E100:E139" si="7">IF(C100=0,"",(B100)/(C100))</f>
        <v/>
      </c>
      <c r="F100" s="48"/>
      <c r="H100" s="101" t="str">
        <f t="shared" si="6"/>
        <v/>
      </c>
    </row>
    <row r="101" spans="1:8" ht="16" x14ac:dyDescent="0.2">
      <c r="A101" s="26" t="s">
        <v>133</v>
      </c>
      <c r="B101" s="20">
        <v>48</v>
      </c>
      <c r="C101" s="20">
        <v>200</v>
      </c>
      <c r="D101" s="20">
        <v>200</v>
      </c>
      <c r="E101" s="20">
        <v>200</v>
      </c>
      <c r="F101" s="42">
        <v>500</v>
      </c>
      <c r="H101" s="101">
        <f t="shared" si="6"/>
        <v>0.6</v>
      </c>
    </row>
    <row r="102" spans="1:8" ht="16" x14ac:dyDescent="0.2">
      <c r="A102" s="26" t="s">
        <v>134</v>
      </c>
      <c r="B102" s="25">
        <v>275</v>
      </c>
      <c r="C102" s="20">
        <v>300</v>
      </c>
      <c r="D102" s="20">
        <v>300</v>
      </c>
      <c r="E102" s="20">
        <v>300</v>
      </c>
      <c r="F102" s="42">
        <v>850</v>
      </c>
      <c r="H102" s="101">
        <f t="shared" si="6"/>
        <v>0.6470588235294118</v>
      </c>
    </row>
    <row r="103" spans="1:8" ht="16" hidden="1" x14ac:dyDescent="0.2">
      <c r="A103" s="26" t="s">
        <v>135</v>
      </c>
      <c r="B103" s="25"/>
      <c r="C103" s="25"/>
      <c r="D103" s="20"/>
      <c r="E103" s="20" t="str">
        <f t="shared" si="7"/>
        <v/>
      </c>
      <c r="F103" s="42"/>
      <c r="H103" s="101" t="str">
        <f t="shared" si="6"/>
        <v/>
      </c>
    </row>
    <row r="104" spans="1:8" ht="16" hidden="1" x14ac:dyDescent="0.2">
      <c r="A104" s="26" t="s">
        <v>136</v>
      </c>
      <c r="B104" s="25"/>
      <c r="C104" s="25"/>
      <c r="D104" s="20"/>
      <c r="E104" s="20" t="str">
        <f t="shared" si="7"/>
        <v/>
      </c>
      <c r="F104" s="42"/>
      <c r="H104" s="101" t="str">
        <f t="shared" si="6"/>
        <v/>
      </c>
    </row>
    <row r="105" spans="1:8" ht="16" hidden="1" x14ac:dyDescent="0.2">
      <c r="A105" s="26" t="s">
        <v>137</v>
      </c>
      <c r="B105" s="25"/>
      <c r="C105" s="25"/>
      <c r="D105" s="20"/>
      <c r="E105" s="20" t="str">
        <f t="shared" si="7"/>
        <v/>
      </c>
      <c r="F105" s="42"/>
      <c r="H105" s="101" t="str">
        <f t="shared" si="6"/>
        <v/>
      </c>
    </row>
    <row r="106" spans="1:8" ht="16" hidden="1" x14ac:dyDescent="0.2">
      <c r="A106" s="26" t="s">
        <v>138</v>
      </c>
      <c r="B106" s="25"/>
      <c r="C106" s="25"/>
      <c r="D106" s="20"/>
      <c r="E106" s="20" t="str">
        <f t="shared" si="7"/>
        <v/>
      </c>
      <c r="F106" s="42"/>
      <c r="H106" s="101" t="str">
        <f t="shared" si="6"/>
        <v/>
      </c>
    </row>
    <row r="107" spans="1:8" ht="16" hidden="1" x14ac:dyDescent="0.2">
      <c r="A107" s="26" t="s">
        <v>139</v>
      </c>
      <c r="B107" s="25"/>
      <c r="C107" s="25"/>
      <c r="D107" s="20"/>
      <c r="E107" s="20" t="str">
        <f t="shared" si="7"/>
        <v/>
      </c>
      <c r="F107" s="42"/>
      <c r="H107" s="101" t="str">
        <f t="shared" si="6"/>
        <v/>
      </c>
    </row>
    <row r="108" spans="1:8" ht="16" hidden="1" x14ac:dyDescent="0.2">
      <c r="A108" s="26" t="s">
        <v>140</v>
      </c>
      <c r="B108" s="25"/>
      <c r="C108" s="25"/>
      <c r="D108" s="20"/>
      <c r="E108" s="20" t="str">
        <f t="shared" si="7"/>
        <v/>
      </c>
      <c r="F108" s="42"/>
      <c r="H108" s="101" t="str">
        <f t="shared" si="6"/>
        <v/>
      </c>
    </row>
    <row r="109" spans="1:8" ht="16" x14ac:dyDescent="0.2">
      <c r="A109" s="26" t="s">
        <v>231</v>
      </c>
      <c r="B109" s="38">
        <v>5802</v>
      </c>
      <c r="C109" s="39">
        <v>4400</v>
      </c>
      <c r="D109" s="38">
        <v>6000</v>
      </c>
      <c r="E109" s="38">
        <v>6550</v>
      </c>
      <c r="F109" s="48">
        <v>5000</v>
      </c>
      <c r="G109" t="s">
        <v>272</v>
      </c>
      <c r="H109" s="101">
        <f t="shared" si="6"/>
        <v>-0.31</v>
      </c>
    </row>
    <row r="110" spans="1:8" ht="16" x14ac:dyDescent="0.2">
      <c r="A110" s="27" t="s">
        <v>264</v>
      </c>
      <c r="B110" s="89">
        <f>B109+B102+B101</f>
        <v>6125</v>
      </c>
      <c r="C110" s="89">
        <f>C109+C102+C101</f>
        <v>4900</v>
      </c>
      <c r="D110" s="89">
        <f>D109+D102+D101</f>
        <v>6500</v>
      </c>
      <c r="E110" s="89">
        <f>E109+E102+E101</f>
        <v>7050</v>
      </c>
      <c r="F110" s="89">
        <f>F109+F102+F101</f>
        <v>6350</v>
      </c>
      <c r="H110" s="101">
        <f t="shared" si="6"/>
        <v>-0.11023622047244094</v>
      </c>
    </row>
    <row r="111" spans="1:8" ht="16" x14ac:dyDescent="0.2">
      <c r="A111" s="27" t="s">
        <v>151</v>
      </c>
      <c r="B111" s="79">
        <v>600</v>
      </c>
      <c r="C111" s="79">
        <v>600</v>
      </c>
      <c r="D111" s="79">
        <v>600</v>
      </c>
      <c r="E111" s="79">
        <v>600</v>
      </c>
      <c r="F111" s="46">
        <v>3500</v>
      </c>
      <c r="H111" s="101">
        <f t="shared" si="6"/>
        <v>0.82857142857142863</v>
      </c>
    </row>
    <row r="112" spans="1:8" ht="16" x14ac:dyDescent="0.2">
      <c r="A112" s="27" t="s">
        <v>152</v>
      </c>
      <c r="B112" s="37">
        <v>8873</v>
      </c>
      <c r="C112" s="37">
        <v>3500</v>
      </c>
      <c r="D112" s="37">
        <v>13500</v>
      </c>
      <c r="E112" s="37">
        <v>5000</v>
      </c>
      <c r="F112" s="45">
        <v>5000</v>
      </c>
      <c r="H112" s="101">
        <f t="shared" si="6"/>
        <v>0</v>
      </c>
    </row>
    <row r="113" spans="1:8" ht="16" x14ac:dyDescent="0.2">
      <c r="A113" s="26" t="s">
        <v>161</v>
      </c>
      <c r="B113" s="25"/>
      <c r="C113" s="25"/>
      <c r="D113" s="20">
        <f t="shared" ref="D113:D139" si="8">(B113)-(C113)</f>
        <v>0</v>
      </c>
      <c r="E113" s="20" t="str">
        <f t="shared" si="7"/>
        <v/>
      </c>
      <c r="F113" s="42"/>
      <c r="H113" s="101" t="str">
        <f t="shared" si="6"/>
        <v/>
      </c>
    </row>
    <row r="114" spans="1:8" ht="16" x14ac:dyDescent="0.2">
      <c r="A114" s="26" t="s">
        <v>162</v>
      </c>
      <c r="B114" s="20">
        <v>1828</v>
      </c>
      <c r="C114" s="20">
        <v>1900</v>
      </c>
      <c r="D114" s="20">
        <v>1900</v>
      </c>
      <c r="E114" s="20">
        <v>2500</v>
      </c>
      <c r="F114" s="42">
        <v>3600</v>
      </c>
      <c r="H114" s="101">
        <f t="shared" si="6"/>
        <v>0.30555555555555558</v>
      </c>
    </row>
    <row r="115" spans="1:8" ht="16" x14ac:dyDescent="0.2">
      <c r="A115" s="26" t="s">
        <v>163</v>
      </c>
      <c r="B115" s="20">
        <v>368</v>
      </c>
      <c r="C115" s="20">
        <v>300</v>
      </c>
      <c r="D115" s="20">
        <v>300</v>
      </c>
      <c r="E115" s="20">
        <v>600</v>
      </c>
      <c r="F115" s="42">
        <v>600</v>
      </c>
      <c r="H115" s="101">
        <f t="shared" si="6"/>
        <v>0</v>
      </c>
    </row>
    <row r="116" spans="1:8" ht="16" hidden="1" x14ac:dyDescent="0.2">
      <c r="A116" s="26" t="s">
        <v>164</v>
      </c>
      <c r="B116" s="20">
        <v>0</v>
      </c>
      <c r="C116" s="25">
        <v>0</v>
      </c>
      <c r="D116" s="20">
        <v>0</v>
      </c>
      <c r="E116" s="20">
        <v>0</v>
      </c>
      <c r="F116" s="42">
        <v>0</v>
      </c>
      <c r="H116" s="101" t="str">
        <f t="shared" si="6"/>
        <v/>
      </c>
    </row>
    <row r="117" spans="1:8" ht="16" hidden="1" x14ac:dyDescent="0.2">
      <c r="A117" s="26" t="s">
        <v>165</v>
      </c>
      <c r="B117" s="25"/>
      <c r="C117" s="25"/>
      <c r="D117" s="20">
        <f t="shared" si="8"/>
        <v>0</v>
      </c>
      <c r="E117" s="20" t="str">
        <f t="shared" si="7"/>
        <v/>
      </c>
      <c r="F117" s="42"/>
      <c r="H117" s="101" t="str">
        <f t="shared" si="6"/>
        <v/>
      </c>
    </row>
    <row r="118" spans="1:8" ht="16" hidden="1" x14ac:dyDescent="0.2">
      <c r="A118" s="26" t="s">
        <v>166</v>
      </c>
      <c r="B118" s="25"/>
      <c r="C118" s="25"/>
      <c r="D118" s="20">
        <f t="shared" si="8"/>
        <v>0</v>
      </c>
      <c r="E118" s="20" t="str">
        <f t="shared" si="7"/>
        <v/>
      </c>
      <c r="F118" s="42"/>
      <c r="H118" s="101" t="str">
        <f t="shared" si="6"/>
        <v/>
      </c>
    </row>
    <row r="119" spans="1:8" ht="16" x14ac:dyDescent="0.2">
      <c r="A119" s="26" t="s">
        <v>232</v>
      </c>
      <c r="B119" s="20">
        <v>654</v>
      </c>
      <c r="C119" s="20">
        <v>600</v>
      </c>
      <c r="D119" s="20">
        <v>800</v>
      </c>
      <c r="E119" s="20">
        <v>800</v>
      </c>
      <c r="F119" s="42">
        <v>900</v>
      </c>
      <c r="H119" s="101">
        <f t="shared" si="6"/>
        <v>0.1111111111111111</v>
      </c>
    </row>
    <row r="120" spans="1:8" ht="16" x14ac:dyDescent="0.2">
      <c r="A120" s="26" t="s">
        <v>168</v>
      </c>
      <c r="B120" s="20">
        <v>1171</v>
      </c>
      <c r="C120" s="20">
        <v>450</v>
      </c>
      <c r="D120" s="20">
        <v>1200</v>
      </c>
      <c r="E120" s="20">
        <v>1200</v>
      </c>
      <c r="F120" s="42">
        <v>1200</v>
      </c>
      <c r="H120" s="101">
        <f t="shared" si="6"/>
        <v>0</v>
      </c>
    </row>
    <row r="121" spans="1:8" ht="16" x14ac:dyDescent="0.2">
      <c r="A121" s="27" t="s">
        <v>169</v>
      </c>
      <c r="B121" s="24">
        <f>B114+B115+B119+B120</f>
        <v>4021</v>
      </c>
      <c r="C121" s="24">
        <f>C114+C115+C119+C120</f>
        <v>3250</v>
      </c>
      <c r="D121" s="24">
        <f>D114+D115+D119+D120</f>
        <v>4200</v>
      </c>
      <c r="E121" s="24">
        <f>E114+E115+E119+E120</f>
        <v>5100</v>
      </c>
      <c r="F121" s="24">
        <f>F114+F115+F119+F120</f>
        <v>6300</v>
      </c>
      <c r="H121" s="101">
        <f t="shared" si="6"/>
        <v>0.19047619047619047</v>
      </c>
    </row>
    <row r="122" spans="1:8" ht="16" x14ac:dyDescent="0.2">
      <c r="A122" s="26" t="s">
        <v>170</v>
      </c>
      <c r="B122" s="20">
        <v>821</v>
      </c>
      <c r="C122" s="20">
        <v>600</v>
      </c>
      <c r="D122" s="20">
        <v>1200</v>
      </c>
      <c r="E122" s="20">
        <v>900</v>
      </c>
      <c r="F122" s="42">
        <v>800</v>
      </c>
      <c r="H122" s="101">
        <f t="shared" si="6"/>
        <v>-0.125</v>
      </c>
    </row>
    <row r="123" spans="1:8" ht="16" x14ac:dyDescent="0.2">
      <c r="A123" s="27" t="s">
        <v>233</v>
      </c>
      <c r="B123" s="29">
        <f>B122</f>
        <v>821</v>
      </c>
      <c r="C123" s="29">
        <f>C122</f>
        <v>600</v>
      </c>
      <c r="D123" s="29">
        <f>D122</f>
        <v>1200</v>
      </c>
      <c r="E123" s="29">
        <f>E122</f>
        <v>900</v>
      </c>
      <c r="F123" s="44">
        <f>F122</f>
        <v>800</v>
      </c>
      <c r="H123" s="101">
        <f t="shared" si="6"/>
        <v>-0.125</v>
      </c>
    </row>
    <row r="124" spans="1:8" ht="16" x14ac:dyDescent="0.2">
      <c r="A124" s="27" t="s">
        <v>267</v>
      </c>
      <c r="B124" s="29"/>
      <c r="C124" s="29"/>
      <c r="D124" s="29"/>
      <c r="E124" s="29"/>
      <c r="F124" s="91">
        <v>2798.32</v>
      </c>
      <c r="H124" s="101">
        <f t="shared" si="6"/>
        <v>1</v>
      </c>
    </row>
    <row r="125" spans="1:8" ht="16" hidden="1" x14ac:dyDescent="0.2">
      <c r="A125" s="26" t="s">
        <v>171</v>
      </c>
      <c r="B125" s="38">
        <v>0</v>
      </c>
      <c r="C125" s="39">
        <v>0</v>
      </c>
      <c r="D125" s="38">
        <f t="shared" si="8"/>
        <v>0</v>
      </c>
      <c r="E125" s="38" t="str">
        <f t="shared" si="7"/>
        <v/>
      </c>
      <c r="F125" s="48"/>
      <c r="H125" s="101" t="str">
        <f t="shared" si="6"/>
        <v/>
      </c>
    </row>
    <row r="126" spans="1:8" ht="16" x14ac:dyDescent="0.2">
      <c r="A126" s="27" t="s">
        <v>172</v>
      </c>
      <c r="B126" s="99">
        <f>B123+B121+B112+B111+B110+B99+B98+B97+B89+B88+B84+B79+B56+B45+B124</f>
        <v>74969</v>
      </c>
      <c r="C126" s="99">
        <f>C123+C121+C112+C111+C110+C99+C98+C97+C89+C88+C84+C79+C56+C45+C124</f>
        <v>82644</v>
      </c>
      <c r="D126" s="99">
        <f>D123+D121+D112+D111+D110+D99+D98+D97+D89+D88+D84+D79+D56+D45+D124</f>
        <v>90194</v>
      </c>
      <c r="E126" s="99">
        <f>E123+E121+E112+E111+E110+E99+E98+E97+E89+E88+E84+E79+E56+E45+E124</f>
        <v>96074</v>
      </c>
      <c r="F126" s="99">
        <f>F123+F121+F112+F111+F110+F99+F98+F97+F89+F88+F84+F79+F56+F45+F124</f>
        <v>137368.32000000001</v>
      </c>
      <c r="H126" s="101">
        <f t="shared" si="6"/>
        <v>0.30061021347571265</v>
      </c>
    </row>
    <row r="127" spans="1:8" ht="16" x14ac:dyDescent="0.2">
      <c r="A127" s="26" t="s">
        <v>173</v>
      </c>
      <c r="B127" s="25"/>
      <c r="C127" s="25"/>
      <c r="D127" s="20">
        <f t="shared" si="8"/>
        <v>0</v>
      </c>
      <c r="E127" s="20" t="str">
        <f t="shared" si="7"/>
        <v/>
      </c>
      <c r="F127" s="42"/>
      <c r="H127" s="101" t="str">
        <f t="shared" si="6"/>
        <v/>
      </c>
    </row>
    <row r="128" spans="1:8" ht="16" hidden="1" x14ac:dyDescent="0.2">
      <c r="A128" s="26" t="s">
        <v>174</v>
      </c>
      <c r="B128" s="57"/>
      <c r="C128" s="57"/>
      <c r="D128" s="56">
        <f t="shared" si="8"/>
        <v>0</v>
      </c>
      <c r="E128" s="56" t="str">
        <f t="shared" si="7"/>
        <v/>
      </c>
      <c r="F128" s="58"/>
      <c r="H128" s="101" t="str">
        <f t="shared" si="6"/>
        <v/>
      </c>
    </row>
    <row r="129" spans="1:8" ht="16" hidden="1" x14ac:dyDescent="0.2">
      <c r="A129" s="26" t="s">
        <v>175</v>
      </c>
      <c r="B129" s="57"/>
      <c r="C129" s="57"/>
      <c r="D129" s="56">
        <f t="shared" si="8"/>
        <v>0</v>
      </c>
      <c r="E129" s="56" t="str">
        <f t="shared" si="7"/>
        <v/>
      </c>
      <c r="F129" s="58"/>
      <c r="H129" s="101" t="str">
        <f t="shared" si="6"/>
        <v/>
      </c>
    </row>
    <row r="130" spans="1:8" ht="16" hidden="1" x14ac:dyDescent="0.2">
      <c r="A130" s="26" t="s">
        <v>176</v>
      </c>
      <c r="B130" s="57"/>
      <c r="C130" s="57"/>
      <c r="D130" s="56">
        <f t="shared" si="8"/>
        <v>0</v>
      </c>
      <c r="E130" s="56" t="str">
        <f t="shared" si="7"/>
        <v/>
      </c>
      <c r="F130" s="58"/>
      <c r="H130" s="101" t="str">
        <f t="shared" si="6"/>
        <v/>
      </c>
    </row>
    <row r="131" spans="1:8" ht="16" hidden="1" x14ac:dyDescent="0.2">
      <c r="A131" s="26" t="s">
        <v>177</v>
      </c>
      <c r="B131" s="57"/>
      <c r="C131" s="57"/>
      <c r="D131" s="56">
        <f t="shared" si="8"/>
        <v>0</v>
      </c>
      <c r="E131" s="56" t="str">
        <f t="shared" si="7"/>
        <v/>
      </c>
      <c r="F131" s="58"/>
      <c r="H131" s="101" t="str">
        <f t="shared" si="6"/>
        <v/>
      </c>
    </row>
    <row r="132" spans="1:8" ht="16" hidden="1" x14ac:dyDescent="0.2">
      <c r="A132" s="26" t="s">
        <v>178</v>
      </c>
      <c r="B132" s="57"/>
      <c r="C132" s="57"/>
      <c r="D132" s="56">
        <f t="shared" si="8"/>
        <v>0</v>
      </c>
      <c r="E132" s="56" t="str">
        <f t="shared" si="7"/>
        <v/>
      </c>
      <c r="F132" s="58"/>
      <c r="H132" s="101" t="str">
        <f t="shared" si="6"/>
        <v/>
      </c>
    </row>
    <row r="133" spans="1:8" ht="16" x14ac:dyDescent="0.2">
      <c r="A133" s="26" t="s">
        <v>179</v>
      </c>
      <c r="B133" s="57"/>
      <c r="C133" s="57"/>
      <c r="D133" s="56">
        <f t="shared" si="8"/>
        <v>0</v>
      </c>
      <c r="E133" s="56" t="str">
        <f t="shared" si="7"/>
        <v/>
      </c>
      <c r="F133" s="58"/>
      <c r="H133" s="101" t="str">
        <f t="shared" si="6"/>
        <v/>
      </c>
    </row>
    <row r="134" spans="1:8" ht="16" x14ac:dyDescent="0.2">
      <c r="A134" s="26" t="s">
        <v>180</v>
      </c>
      <c r="B134" s="56">
        <v>19291</v>
      </c>
      <c r="C134" s="56">
        <v>19752</v>
      </c>
      <c r="D134" s="56">
        <v>20299</v>
      </c>
      <c r="E134" s="56">
        <v>20890</v>
      </c>
      <c r="F134" s="58">
        <v>21541.56</v>
      </c>
      <c r="G134" s="53">
        <v>0.55000000000000004</v>
      </c>
      <c r="H134" s="101">
        <f t="shared" si="6"/>
        <v>3.024664880352218E-2</v>
      </c>
    </row>
    <row r="135" spans="1:8" ht="16" x14ac:dyDescent="0.2">
      <c r="A135" s="26" t="s">
        <v>181</v>
      </c>
      <c r="B135" s="56">
        <v>12970</v>
      </c>
      <c r="C135" s="56">
        <v>12509</v>
      </c>
      <c r="D135" s="56">
        <v>11968</v>
      </c>
      <c r="E135" s="56">
        <v>11371</v>
      </c>
      <c r="F135" s="58">
        <v>5359.64</v>
      </c>
      <c r="G135" s="53">
        <v>0.55000000000000004</v>
      </c>
      <c r="H135" s="101">
        <f t="shared" si="6"/>
        <v>-1.1215977192498003</v>
      </c>
    </row>
    <row r="136" spans="1:8" ht="16" hidden="1" x14ac:dyDescent="0.2">
      <c r="A136" s="26" t="s">
        <v>182</v>
      </c>
      <c r="B136" s="57"/>
      <c r="C136" s="57"/>
      <c r="D136" s="56">
        <f t="shared" si="8"/>
        <v>0</v>
      </c>
      <c r="E136" s="56" t="str">
        <f t="shared" si="7"/>
        <v/>
      </c>
      <c r="F136" s="58"/>
      <c r="H136" s="101" t="str">
        <f t="shared" si="6"/>
        <v/>
      </c>
    </row>
    <row r="137" spans="1:8" ht="16" hidden="1" x14ac:dyDescent="0.2">
      <c r="A137" s="26" t="s">
        <v>183</v>
      </c>
      <c r="B137" s="57"/>
      <c r="C137" s="57"/>
      <c r="D137" s="56">
        <f t="shared" si="8"/>
        <v>0</v>
      </c>
      <c r="E137" s="56" t="str">
        <f t="shared" si="7"/>
        <v/>
      </c>
      <c r="F137" s="58"/>
      <c r="H137" s="101" t="str">
        <f t="shared" si="6"/>
        <v/>
      </c>
    </row>
    <row r="138" spans="1:8" ht="16" hidden="1" x14ac:dyDescent="0.2">
      <c r="A138" s="26" t="s">
        <v>184</v>
      </c>
      <c r="B138" s="57"/>
      <c r="C138" s="57"/>
      <c r="D138" s="56">
        <f t="shared" si="8"/>
        <v>0</v>
      </c>
      <c r="E138" s="56" t="str">
        <f t="shared" si="7"/>
        <v/>
      </c>
      <c r="F138" s="58"/>
      <c r="H138" s="101" t="str">
        <f t="shared" si="6"/>
        <v/>
      </c>
    </row>
    <row r="139" spans="1:8" ht="16" hidden="1" x14ac:dyDescent="0.2">
      <c r="A139" s="26" t="s">
        <v>185</v>
      </c>
      <c r="B139" s="57"/>
      <c r="C139" s="57"/>
      <c r="D139" s="56">
        <f t="shared" si="8"/>
        <v>0</v>
      </c>
      <c r="E139" s="56" t="str">
        <f t="shared" si="7"/>
        <v/>
      </c>
      <c r="F139" s="59"/>
      <c r="H139" s="101" t="str">
        <f t="shared" ref="H139:H142" si="9">IF(F139,(F139-E139)/F139,"")</f>
        <v/>
      </c>
    </row>
    <row r="140" spans="1:8" ht="16" x14ac:dyDescent="0.2">
      <c r="A140" s="26" t="s">
        <v>186</v>
      </c>
      <c r="B140" s="60">
        <f>B134+B135</f>
        <v>32261</v>
      </c>
      <c r="C140" s="60">
        <f>C134+C135</f>
        <v>32261</v>
      </c>
      <c r="D140" s="60">
        <f>D134+D135</f>
        <v>32267</v>
      </c>
      <c r="E140" s="60">
        <f>E134+E135</f>
        <v>32261</v>
      </c>
      <c r="F140" s="60">
        <f>F134+F135</f>
        <v>26901.200000000001</v>
      </c>
      <c r="H140" s="101">
        <f t="shared" si="9"/>
        <v>-0.19924018259408499</v>
      </c>
    </row>
    <row r="141" spans="1:8" ht="16" x14ac:dyDescent="0.2">
      <c r="A141" s="26" t="s">
        <v>187</v>
      </c>
      <c r="B141" s="22">
        <f>B126+B140</f>
        <v>107230</v>
      </c>
      <c r="C141" s="22">
        <f>C126+C140</f>
        <v>114905</v>
      </c>
      <c r="D141" s="22">
        <f>D126+D140</f>
        <v>122461</v>
      </c>
      <c r="E141" s="22">
        <f>E126+E140</f>
        <v>128335</v>
      </c>
      <c r="F141" s="75">
        <f>F126+F140</f>
        <v>164269.52000000002</v>
      </c>
      <c r="H141" s="101">
        <f t="shared" si="9"/>
        <v>0.21875342425058536</v>
      </c>
    </row>
    <row r="142" spans="1:8" ht="16" x14ac:dyDescent="0.2">
      <c r="A142" s="26" t="s">
        <v>188</v>
      </c>
      <c r="B142" s="22">
        <f>B30</f>
        <v>155706</v>
      </c>
      <c r="C142" s="22">
        <f>C30</f>
        <v>151181</v>
      </c>
      <c r="D142" s="22">
        <f>D30</f>
        <v>151353</v>
      </c>
      <c r="E142" s="22">
        <f>E30</f>
        <v>152204</v>
      </c>
      <c r="F142" s="49">
        <f>F30</f>
        <v>165263.32</v>
      </c>
      <c r="H142" s="101">
        <f t="shared" si="9"/>
        <v>7.90212855460002E-2</v>
      </c>
    </row>
    <row r="143" spans="1:8" ht="16" x14ac:dyDescent="0.2">
      <c r="A143" s="26" t="s">
        <v>189</v>
      </c>
      <c r="B143" s="25"/>
      <c r="C143" s="25"/>
      <c r="D143" s="25"/>
      <c r="E143" s="25"/>
      <c r="F143" s="42"/>
    </row>
    <row r="144" spans="1:8" ht="16" x14ac:dyDescent="0.2">
      <c r="A144" s="26" t="s">
        <v>190</v>
      </c>
      <c r="B144" s="25"/>
      <c r="C144" s="25"/>
      <c r="D144" s="20">
        <f t="shared" ref="D144:D148" si="10">(B144)-(C144)</f>
        <v>0</v>
      </c>
      <c r="E144" s="20" t="str">
        <f t="shared" ref="E144:E148" si="11">IF(C144=0,"",(B144)/(C144))</f>
        <v/>
      </c>
      <c r="F144" s="42"/>
    </row>
    <row r="145" spans="1:7" ht="16" x14ac:dyDescent="0.2">
      <c r="A145" s="26" t="s">
        <v>191</v>
      </c>
      <c r="B145" s="25"/>
      <c r="C145" s="20">
        <f>913</f>
        <v>913</v>
      </c>
      <c r="D145" s="20">
        <f t="shared" si="10"/>
        <v>-913</v>
      </c>
      <c r="E145" s="20">
        <f t="shared" si="11"/>
        <v>0</v>
      </c>
      <c r="F145" s="42"/>
    </row>
    <row r="146" spans="1:7" ht="16" x14ac:dyDescent="0.2">
      <c r="A146" s="26" t="s">
        <v>192</v>
      </c>
      <c r="B146" s="25"/>
      <c r="C146" s="25"/>
      <c r="D146" s="20">
        <f t="shared" si="10"/>
        <v>0</v>
      </c>
      <c r="E146" s="20" t="str">
        <f t="shared" si="11"/>
        <v/>
      </c>
      <c r="F146" s="47"/>
    </row>
    <row r="147" spans="1:7" ht="16" x14ac:dyDescent="0.2">
      <c r="A147" s="26" t="s">
        <v>193</v>
      </c>
      <c r="B147" s="22">
        <f>((B144)+(B145))+(B146)</f>
        <v>0</v>
      </c>
      <c r="C147" s="22">
        <f>((C144)+(C145))+(C146)</f>
        <v>913</v>
      </c>
      <c r="D147" s="22">
        <f t="shared" si="10"/>
        <v>-913</v>
      </c>
      <c r="E147" s="22">
        <f t="shared" si="11"/>
        <v>0</v>
      </c>
      <c r="F147" s="50"/>
    </row>
    <row r="148" spans="1:7" ht="16" x14ac:dyDescent="0.2">
      <c r="A148" s="26" t="s">
        <v>194</v>
      </c>
      <c r="B148" s="22">
        <f>(0)-(B147)</f>
        <v>0</v>
      </c>
      <c r="C148" s="22">
        <f>(0)-(C147)</f>
        <v>-913</v>
      </c>
      <c r="D148" s="22">
        <f t="shared" si="10"/>
        <v>913</v>
      </c>
      <c r="E148" s="22">
        <f t="shared" si="11"/>
        <v>0</v>
      </c>
      <c r="F148" s="50"/>
    </row>
    <row r="149" spans="1:7" ht="16" x14ac:dyDescent="0.2">
      <c r="A149" s="26" t="s">
        <v>195</v>
      </c>
      <c r="B149" s="40">
        <f>B142-B141</f>
        <v>48476</v>
      </c>
      <c r="C149" s="40">
        <f>C142-C141</f>
        <v>36276</v>
      </c>
      <c r="D149" s="40">
        <f>D142-D141</f>
        <v>28892</v>
      </c>
      <c r="E149" s="40">
        <f>E142-E141</f>
        <v>23869</v>
      </c>
      <c r="F149" s="49">
        <f>F142-F141</f>
        <v>993.79999999998836</v>
      </c>
    </row>
    <row r="150" spans="1:7" x14ac:dyDescent="0.2">
      <c r="A150" s="3"/>
      <c r="B150" s="36"/>
      <c r="C150" s="36"/>
      <c r="D150" s="36"/>
      <c r="E150" s="36"/>
      <c r="F150" s="42"/>
    </row>
    <row r="153" spans="1:7" x14ac:dyDescent="0.2">
      <c r="A153" s="100" t="s">
        <v>268</v>
      </c>
    </row>
    <row r="154" spans="1:7" ht="16" x14ac:dyDescent="0.2">
      <c r="A154" s="26" t="s">
        <v>243</v>
      </c>
      <c r="B154" s="25"/>
      <c r="C154" s="25"/>
      <c r="D154" s="25"/>
      <c r="E154" s="25"/>
      <c r="F154" s="42"/>
    </row>
    <row r="155" spans="1:7" ht="16" x14ac:dyDescent="0.2">
      <c r="A155" s="26" t="s">
        <v>246</v>
      </c>
      <c r="B155" s="25"/>
      <c r="C155" s="25"/>
      <c r="D155" s="25"/>
      <c r="E155" s="25"/>
      <c r="F155" s="42">
        <v>20836.16</v>
      </c>
      <c r="G155" t="s">
        <v>269</v>
      </c>
    </row>
    <row r="156" spans="1:7" ht="16" x14ac:dyDescent="0.2">
      <c r="A156" s="26" t="s">
        <v>247</v>
      </c>
      <c r="B156" s="25"/>
      <c r="C156" s="25"/>
      <c r="D156" s="25"/>
      <c r="E156" s="25"/>
      <c r="F156" s="47">
        <v>2798.32</v>
      </c>
      <c r="G156" t="s">
        <v>270</v>
      </c>
    </row>
    <row r="157" spans="1:7" ht="16" x14ac:dyDescent="0.2">
      <c r="A157" s="61" t="s">
        <v>244</v>
      </c>
      <c r="B157" s="62"/>
      <c r="C157" s="62"/>
      <c r="D157" s="62"/>
      <c r="E157" s="62"/>
      <c r="F157" s="63">
        <f>F155+F156</f>
        <v>23634.48</v>
      </c>
    </row>
  </sheetData>
  <mergeCells count="4">
    <mergeCell ref="A1:E1"/>
    <mergeCell ref="A2:E2"/>
    <mergeCell ref="A3:E3"/>
    <mergeCell ref="B5:E5"/>
  </mergeCells>
  <printOptions headings="1" gridLines="1"/>
  <pageMargins left="0.7" right="0.7" top="0.75" bottom="0.75" header="0.3" footer="0.3"/>
  <pageSetup scale="75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FD62-8A27-CF40-8A3E-767D73668120}">
  <dimension ref="A1:H169"/>
  <sheetViews>
    <sheetView tabSelected="1" zoomScale="111" zoomScaleNormal="111" workbookViewId="0">
      <selection activeCell="H159" sqref="H159"/>
    </sheetView>
  </sheetViews>
  <sheetFormatPr baseColWidth="10" defaultRowHeight="15" x14ac:dyDescent="0.2"/>
  <cols>
    <col min="1" max="1" width="45" style="66" customWidth="1"/>
    <col min="2" max="4" width="15.83203125" hidden="1" customWidth="1"/>
    <col min="5" max="5" width="15.83203125" style="11" customWidth="1"/>
    <col min="6" max="6" width="16.83203125" style="42" customWidth="1"/>
    <col min="7" max="7" width="46.6640625" style="41" customWidth="1"/>
    <col min="8" max="8" width="10.83203125" style="101"/>
  </cols>
  <sheetData>
    <row r="1" spans="1:8" ht="18" x14ac:dyDescent="0.2">
      <c r="A1" s="106" t="s">
        <v>197</v>
      </c>
      <c r="B1" s="105"/>
      <c r="C1" s="105"/>
      <c r="D1" s="105"/>
      <c r="E1" s="105"/>
    </row>
    <row r="2" spans="1:8" ht="18" x14ac:dyDescent="0.2">
      <c r="A2" s="113" t="s">
        <v>200</v>
      </c>
      <c r="B2" s="105"/>
      <c r="C2" s="105"/>
      <c r="D2" s="105"/>
      <c r="E2" s="105"/>
      <c r="F2" s="73" t="s">
        <v>238</v>
      </c>
      <c r="G2" s="41" t="s">
        <v>248</v>
      </c>
    </row>
    <row r="3" spans="1:8" x14ac:dyDescent="0.2">
      <c r="A3" s="65"/>
      <c r="B3" s="102" t="s">
        <v>3</v>
      </c>
      <c r="C3" s="103"/>
      <c r="D3" s="103"/>
      <c r="E3" s="103"/>
      <c r="F3" s="55">
        <v>45301</v>
      </c>
    </row>
    <row r="4" spans="1:8" x14ac:dyDescent="0.2">
      <c r="A4" s="65"/>
      <c r="B4" s="2">
        <v>2020</v>
      </c>
      <c r="C4" s="2">
        <v>2021</v>
      </c>
      <c r="D4" s="2">
        <v>2022</v>
      </c>
      <c r="E4" s="2">
        <v>2023</v>
      </c>
      <c r="F4" s="51">
        <v>2024</v>
      </c>
      <c r="H4" s="101" t="s">
        <v>273</v>
      </c>
    </row>
    <row r="5" spans="1:8" ht="16" x14ac:dyDescent="0.2">
      <c r="A5" s="26" t="s">
        <v>15</v>
      </c>
      <c r="B5" s="12"/>
      <c r="C5" s="12"/>
      <c r="D5" s="12"/>
      <c r="E5" s="13"/>
    </row>
    <row r="6" spans="1:8" ht="17" x14ac:dyDescent="0.2">
      <c r="A6" s="26" t="s">
        <v>16</v>
      </c>
      <c r="B6" s="12"/>
      <c r="C6" s="12"/>
      <c r="D6" s="14"/>
      <c r="E6" s="15" t="str">
        <f t="shared" ref="E6:E47" si="0">IF(C6=0,"",(B6)/(C6))</f>
        <v/>
      </c>
    </row>
    <row r="7" spans="1:8" ht="17" hidden="1" x14ac:dyDescent="0.2">
      <c r="A7" s="26" t="s">
        <v>17</v>
      </c>
      <c r="B7" s="12"/>
      <c r="C7" s="12"/>
      <c r="D7" s="14">
        <f t="shared" ref="D7:D47" si="1">(B7)-(C7)</f>
        <v>0</v>
      </c>
      <c r="E7" s="15" t="str">
        <f t="shared" si="0"/>
        <v/>
      </c>
    </row>
    <row r="8" spans="1:8" ht="17" hidden="1" x14ac:dyDescent="0.2">
      <c r="A8" s="26" t="s">
        <v>18</v>
      </c>
      <c r="B8" s="12"/>
      <c r="C8" s="12"/>
      <c r="D8" s="14">
        <f t="shared" si="1"/>
        <v>0</v>
      </c>
      <c r="E8" s="15" t="str">
        <f t="shared" si="0"/>
        <v/>
      </c>
    </row>
    <row r="9" spans="1:8" ht="17" hidden="1" x14ac:dyDescent="0.2">
      <c r="A9" s="26" t="s">
        <v>19</v>
      </c>
      <c r="B9" s="12"/>
      <c r="C9" s="12"/>
      <c r="D9" s="14">
        <f t="shared" si="1"/>
        <v>0</v>
      </c>
      <c r="E9" s="15" t="str">
        <f t="shared" si="0"/>
        <v/>
      </c>
    </row>
    <row r="10" spans="1:8" ht="17" hidden="1" x14ac:dyDescent="0.2">
      <c r="A10" s="26" t="s">
        <v>20</v>
      </c>
      <c r="B10" s="12"/>
      <c r="C10" s="12"/>
      <c r="D10" s="14">
        <f t="shared" si="1"/>
        <v>0</v>
      </c>
      <c r="E10" s="15" t="str">
        <f t="shared" si="0"/>
        <v/>
      </c>
    </row>
    <row r="11" spans="1:8" ht="17" hidden="1" x14ac:dyDescent="0.2">
      <c r="A11" s="26" t="s">
        <v>21</v>
      </c>
      <c r="B11" s="12"/>
      <c r="C11" s="12"/>
      <c r="D11" s="14">
        <f t="shared" si="1"/>
        <v>0</v>
      </c>
      <c r="E11" s="15" t="str">
        <f t="shared" si="0"/>
        <v/>
      </c>
    </row>
    <row r="12" spans="1:8" ht="17" hidden="1" x14ac:dyDescent="0.2">
      <c r="A12" s="26" t="s">
        <v>22</v>
      </c>
      <c r="B12" s="16">
        <f>((B9)+(B10))+(B11)</f>
        <v>0</v>
      </c>
      <c r="C12" s="16">
        <f>((C9)+(C10))+(C11)</f>
        <v>0</v>
      </c>
      <c r="D12" s="16">
        <f t="shared" si="1"/>
        <v>0</v>
      </c>
      <c r="E12" s="17" t="str">
        <f t="shared" si="0"/>
        <v/>
      </c>
    </row>
    <row r="13" spans="1:8" ht="17" hidden="1" x14ac:dyDescent="0.2">
      <c r="A13" s="26" t="s">
        <v>23</v>
      </c>
      <c r="B13" s="12"/>
      <c r="C13" s="12"/>
      <c r="D13" s="14">
        <f t="shared" si="1"/>
        <v>0</v>
      </c>
      <c r="E13" s="15" t="str">
        <f t="shared" si="0"/>
        <v/>
      </c>
    </row>
    <row r="14" spans="1:8" ht="17" hidden="1" x14ac:dyDescent="0.2">
      <c r="A14" s="26" t="s">
        <v>24</v>
      </c>
      <c r="B14" s="12"/>
      <c r="C14" s="12"/>
      <c r="D14" s="14">
        <f t="shared" si="1"/>
        <v>0</v>
      </c>
      <c r="E14" s="15" t="str">
        <f t="shared" si="0"/>
        <v/>
      </c>
    </row>
    <row r="15" spans="1:8" ht="17" hidden="1" x14ac:dyDescent="0.2">
      <c r="A15" s="26" t="s">
        <v>25</v>
      </c>
      <c r="B15" s="16">
        <f>(((B8)+(B12))+(B13))+(B14)</f>
        <v>0</v>
      </c>
      <c r="C15" s="16">
        <f>(((C8)+(C12))+(C13))+(C14)</f>
        <v>0</v>
      </c>
      <c r="D15" s="16">
        <f t="shared" si="1"/>
        <v>0</v>
      </c>
      <c r="E15" s="17" t="str">
        <f t="shared" si="0"/>
        <v/>
      </c>
    </row>
    <row r="16" spans="1:8" ht="17" hidden="1" x14ac:dyDescent="0.2">
      <c r="A16" s="26" t="s">
        <v>26</v>
      </c>
      <c r="B16" s="12"/>
      <c r="C16" s="12"/>
      <c r="D16" s="14">
        <f t="shared" si="1"/>
        <v>0</v>
      </c>
      <c r="E16" s="15" t="str">
        <f t="shared" si="0"/>
        <v/>
      </c>
    </row>
    <row r="17" spans="1:8" ht="17" hidden="1" x14ac:dyDescent="0.2">
      <c r="A17" s="26" t="s">
        <v>27</v>
      </c>
      <c r="B17" s="12"/>
      <c r="C17" s="12"/>
      <c r="D17" s="14">
        <f t="shared" si="1"/>
        <v>0</v>
      </c>
      <c r="E17" s="15" t="str">
        <f t="shared" si="0"/>
        <v/>
      </c>
    </row>
    <row r="18" spans="1:8" ht="17" hidden="1" x14ac:dyDescent="0.2">
      <c r="A18" s="26" t="s">
        <v>28</v>
      </c>
      <c r="B18" s="12"/>
      <c r="C18" s="12"/>
      <c r="D18" s="14">
        <f t="shared" si="1"/>
        <v>0</v>
      </c>
      <c r="E18" s="15" t="str">
        <f t="shared" si="0"/>
        <v/>
      </c>
    </row>
    <row r="19" spans="1:8" ht="17" hidden="1" x14ac:dyDescent="0.2">
      <c r="A19" s="26" t="s">
        <v>29</v>
      </c>
      <c r="B19" s="12"/>
      <c r="C19" s="12"/>
      <c r="D19" s="14">
        <f t="shared" si="1"/>
        <v>0</v>
      </c>
      <c r="E19" s="15" t="str">
        <f t="shared" si="0"/>
        <v/>
      </c>
    </row>
    <row r="20" spans="1:8" ht="17" hidden="1" x14ac:dyDescent="0.2">
      <c r="A20" s="26" t="s">
        <v>30</v>
      </c>
      <c r="B20" s="12"/>
      <c r="C20" s="12"/>
      <c r="D20" s="14">
        <f t="shared" si="1"/>
        <v>0</v>
      </c>
      <c r="E20" s="15" t="str">
        <f t="shared" si="0"/>
        <v/>
      </c>
    </row>
    <row r="21" spans="1:8" ht="17" hidden="1" x14ac:dyDescent="0.2">
      <c r="A21" s="26" t="s">
        <v>31</v>
      </c>
      <c r="B21" s="12"/>
      <c r="C21" s="12"/>
      <c r="D21" s="14">
        <f t="shared" si="1"/>
        <v>0</v>
      </c>
      <c r="E21" s="15" t="str">
        <f t="shared" si="0"/>
        <v/>
      </c>
    </row>
    <row r="22" spans="1:8" ht="17" hidden="1" x14ac:dyDescent="0.2">
      <c r="A22" s="26" t="s">
        <v>32</v>
      </c>
      <c r="B22" s="12"/>
      <c r="C22" s="12"/>
      <c r="D22" s="14">
        <f t="shared" si="1"/>
        <v>0</v>
      </c>
      <c r="E22" s="15" t="str">
        <f t="shared" si="0"/>
        <v/>
      </c>
    </row>
    <row r="23" spans="1:8" ht="17" hidden="1" x14ac:dyDescent="0.2">
      <c r="A23" s="26" t="s">
        <v>33</v>
      </c>
      <c r="B23" s="16">
        <f>(B21)+(B22)</f>
        <v>0</v>
      </c>
      <c r="C23" s="16">
        <f>(C21)+(C22)</f>
        <v>0</v>
      </c>
      <c r="D23" s="16">
        <f t="shared" si="1"/>
        <v>0</v>
      </c>
      <c r="E23" s="17" t="str">
        <f t="shared" si="0"/>
        <v/>
      </c>
    </row>
    <row r="24" spans="1:8" ht="17" hidden="1" x14ac:dyDescent="0.2">
      <c r="A24" s="26" t="s">
        <v>34</v>
      </c>
      <c r="B24" s="16">
        <f>(((((B16)+(B17))+(B18))+(B19))+(B20))+(B23)</f>
        <v>0</v>
      </c>
      <c r="C24" s="16">
        <f>(((((C16)+(C17))+(C18))+(C19))+(C20))+(C23)</f>
        <v>0</v>
      </c>
      <c r="D24" s="16">
        <f t="shared" si="1"/>
        <v>0</v>
      </c>
      <c r="E24" s="17" t="str">
        <f t="shared" si="0"/>
        <v/>
      </c>
    </row>
    <row r="25" spans="1:8" ht="17" hidden="1" x14ac:dyDescent="0.2">
      <c r="A25" s="26" t="s">
        <v>35</v>
      </c>
      <c r="B25" s="16">
        <f>((B7)+(B15))+(B24)</f>
        <v>0</v>
      </c>
      <c r="C25" s="16">
        <f>((C7)+(C15))+(C24)</f>
        <v>0</v>
      </c>
      <c r="D25" s="16">
        <f t="shared" si="1"/>
        <v>0</v>
      </c>
      <c r="E25" s="17" t="str">
        <f t="shared" si="0"/>
        <v/>
      </c>
    </row>
    <row r="26" spans="1:8" ht="16" x14ac:dyDescent="0.2">
      <c r="A26" s="26" t="s">
        <v>36</v>
      </c>
      <c r="B26" s="18"/>
      <c r="C26" s="18"/>
      <c r="D26" s="19"/>
      <c r="E26" s="20" t="str">
        <f t="shared" si="0"/>
        <v/>
      </c>
    </row>
    <row r="27" spans="1:8" ht="16" x14ac:dyDescent="0.2">
      <c r="A27" s="26" t="s">
        <v>37</v>
      </c>
      <c r="B27" s="18"/>
      <c r="C27" s="18"/>
      <c r="D27" s="19"/>
      <c r="E27" s="20" t="str">
        <f t="shared" si="0"/>
        <v/>
      </c>
    </row>
    <row r="28" spans="1:8" ht="16" x14ac:dyDescent="0.2">
      <c r="A28" s="26" t="s">
        <v>38</v>
      </c>
      <c r="B28" s="19">
        <v>175013</v>
      </c>
      <c r="C28" s="19">
        <v>174260</v>
      </c>
      <c r="D28" s="19">
        <v>175688</v>
      </c>
      <c r="E28" s="20">
        <v>267960</v>
      </c>
      <c r="F28" s="20">
        <v>275625</v>
      </c>
      <c r="H28" s="101">
        <f>IF(F28,((F28-E28)/E28), "")</f>
        <v>2.8605015673981191E-2</v>
      </c>
    </row>
    <row r="29" spans="1:8" ht="16" x14ac:dyDescent="0.2">
      <c r="A29" s="26" t="s">
        <v>39</v>
      </c>
      <c r="B29" s="19" t="s">
        <v>203</v>
      </c>
      <c r="C29" s="18" t="s">
        <v>203</v>
      </c>
      <c r="D29" s="19" t="s">
        <v>203</v>
      </c>
      <c r="E29" s="20"/>
      <c r="F29" s="47"/>
      <c r="H29" s="101" t="str">
        <f t="shared" ref="H29:H92" si="2">IF(F29,((F29-E29)/E29), "")</f>
        <v/>
      </c>
    </row>
    <row r="30" spans="1:8" ht="16" x14ac:dyDescent="0.2">
      <c r="A30" s="26" t="s">
        <v>202</v>
      </c>
      <c r="B30" s="21">
        <f>B28</f>
        <v>175013</v>
      </c>
      <c r="C30" s="21">
        <f>C28</f>
        <v>174260</v>
      </c>
      <c r="D30" s="21">
        <f>D28</f>
        <v>175688</v>
      </c>
      <c r="E30" s="21">
        <f>E28</f>
        <v>267960</v>
      </c>
      <c r="F30" s="60">
        <f>F28</f>
        <v>275625</v>
      </c>
      <c r="H30" s="101">
        <f t="shared" si="2"/>
        <v>2.8605015673981191E-2</v>
      </c>
    </row>
    <row r="31" spans="1:8" ht="16" x14ac:dyDescent="0.2">
      <c r="A31" s="26" t="s">
        <v>207</v>
      </c>
      <c r="B31" s="18"/>
      <c r="C31" s="18"/>
      <c r="D31" s="19"/>
      <c r="E31" s="20" t="str">
        <f t="shared" si="0"/>
        <v/>
      </c>
      <c r="H31" s="101" t="str">
        <f t="shared" si="2"/>
        <v/>
      </c>
    </row>
    <row r="32" spans="1:8" ht="16" x14ac:dyDescent="0.2">
      <c r="A32" s="26" t="s">
        <v>254</v>
      </c>
      <c r="B32" s="18"/>
      <c r="C32" s="18"/>
      <c r="D32" s="19"/>
      <c r="E32" s="20"/>
      <c r="F32" s="42">
        <v>45000</v>
      </c>
      <c r="G32" s="41" t="s">
        <v>256</v>
      </c>
    </row>
    <row r="33" spans="1:8" ht="16" x14ac:dyDescent="0.2">
      <c r="A33" s="26" t="s">
        <v>42</v>
      </c>
      <c r="B33" s="19">
        <v>972</v>
      </c>
      <c r="C33" s="18">
        <v>100</v>
      </c>
      <c r="D33" s="19">
        <v>100</v>
      </c>
      <c r="E33" s="20">
        <v>300</v>
      </c>
      <c r="F33" s="48">
        <v>2000</v>
      </c>
      <c r="H33" s="101">
        <f t="shared" si="2"/>
        <v>5.666666666666667</v>
      </c>
    </row>
    <row r="34" spans="1:8" ht="16" x14ac:dyDescent="0.2">
      <c r="A34" s="26" t="s">
        <v>44</v>
      </c>
      <c r="B34" s="21">
        <f>B30+B33</f>
        <v>175985</v>
      </c>
      <c r="C34" s="21">
        <f t="shared" ref="C34:E34" si="3">C30+C33</f>
        <v>174360</v>
      </c>
      <c r="D34" s="21">
        <f t="shared" si="3"/>
        <v>175788</v>
      </c>
      <c r="E34" s="21">
        <f t="shared" si="3"/>
        <v>268260</v>
      </c>
      <c r="F34" s="67">
        <f>F30+F32+F33</f>
        <v>322625</v>
      </c>
      <c r="H34" s="101">
        <f t="shared" si="2"/>
        <v>0.20265786923134274</v>
      </c>
    </row>
    <row r="35" spans="1:8" ht="16" hidden="1" x14ac:dyDescent="0.2">
      <c r="A35" s="26" t="s">
        <v>45</v>
      </c>
      <c r="B35" s="18"/>
      <c r="C35" s="18"/>
      <c r="D35" s="19">
        <f t="shared" si="1"/>
        <v>0</v>
      </c>
      <c r="E35" s="20" t="str">
        <f t="shared" si="0"/>
        <v/>
      </c>
      <c r="F35" s="68"/>
      <c r="H35" s="101" t="str">
        <f t="shared" si="2"/>
        <v/>
      </c>
    </row>
    <row r="36" spans="1:8" ht="16" hidden="1" x14ac:dyDescent="0.2">
      <c r="A36" s="26" t="s">
        <v>46</v>
      </c>
      <c r="B36" s="18"/>
      <c r="C36" s="18"/>
      <c r="D36" s="19">
        <f t="shared" si="1"/>
        <v>0</v>
      </c>
      <c r="E36" s="20" t="str">
        <f t="shared" si="0"/>
        <v/>
      </c>
      <c r="F36" s="68"/>
      <c r="H36" s="101" t="str">
        <f t="shared" si="2"/>
        <v/>
      </c>
    </row>
    <row r="37" spans="1:8" ht="16" hidden="1" x14ac:dyDescent="0.2">
      <c r="A37" s="26" t="s">
        <v>47</v>
      </c>
      <c r="B37" s="18"/>
      <c r="C37" s="18"/>
      <c r="D37" s="19">
        <f t="shared" si="1"/>
        <v>0</v>
      </c>
      <c r="E37" s="20" t="str">
        <f t="shared" si="0"/>
        <v/>
      </c>
      <c r="F37" s="68"/>
      <c r="H37" s="101" t="str">
        <f t="shared" si="2"/>
        <v/>
      </c>
    </row>
    <row r="38" spans="1:8" ht="16" hidden="1" x14ac:dyDescent="0.2">
      <c r="A38" s="26" t="s">
        <v>48</v>
      </c>
      <c r="B38" s="18"/>
      <c r="C38" s="18"/>
      <c r="D38" s="19">
        <f t="shared" si="1"/>
        <v>0</v>
      </c>
      <c r="E38" s="20" t="str">
        <f t="shared" si="0"/>
        <v/>
      </c>
      <c r="F38" s="68"/>
      <c r="H38" s="101" t="str">
        <f t="shared" si="2"/>
        <v/>
      </c>
    </row>
    <row r="39" spans="1:8" ht="16" hidden="1" x14ac:dyDescent="0.2">
      <c r="A39" s="26" t="s">
        <v>49</v>
      </c>
      <c r="B39" s="18"/>
      <c r="C39" s="18"/>
      <c r="D39" s="19">
        <f t="shared" si="1"/>
        <v>0</v>
      </c>
      <c r="E39" s="20" t="str">
        <f t="shared" si="0"/>
        <v/>
      </c>
      <c r="F39" s="68"/>
      <c r="H39" s="101" t="str">
        <f t="shared" si="2"/>
        <v/>
      </c>
    </row>
    <row r="40" spans="1:8" ht="16" hidden="1" x14ac:dyDescent="0.2">
      <c r="A40" s="26" t="s">
        <v>50</v>
      </c>
      <c r="B40" s="18"/>
      <c r="C40" s="18"/>
      <c r="D40" s="19">
        <f t="shared" si="1"/>
        <v>0</v>
      </c>
      <c r="E40" s="20" t="str">
        <f t="shared" si="0"/>
        <v/>
      </c>
      <c r="F40" s="54"/>
      <c r="H40" s="101" t="str">
        <f t="shared" si="2"/>
        <v/>
      </c>
    </row>
    <row r="41" spans="1:8" ht="16" hidden="1" x14ac:dyDescent="0.2">
      <c r="A41" s="26" t="s">
        <v>51</v>
      </c>
      <c r="B41" s="21">
        <f>((B38)+(B39))+(B40)</f>
        <v>0</v>
      </c>
      <c r="C41" s="21">
        <f>((C38)+(C39))+(C40)</f>
        <v>0</v>
      </c>
      <c r="D41" s="21">
        <f t="shared" si="1"/>
        <v>0</v>
      </c>
      <c r="E41" s="22" t="str">
        <f t="shared" si="0"/>
        <v/>
      </c>
      <c r="F41" s="68"/>
      <c r="H41" s="101" t="str">
        <f t="shared" si="2"/>
        <v/>
      </c>
    </row>
    <row r="42" spans="1:8" ht="16" hidden="1" x14ac:dyDescent="0.2">
      <c r="A42" s="26" t="s">
        <v>52</v>
      </c>
      <c r="B42" s="18"/>
      <c r="C42" s="18"/>
      <c r="D42" s="19">
        <f t="shared" si="1"/>
        <v>0</v>
      </c>
      <c r="E42" s="20" t="str">
        <f t="shared" si="0"/>
        <v/>
      </c>
      <c r="F42" s="54"/>
      <c r="H42" s="101" t="str">
        <f t="shared" si="2"/>
        <v/>
      </c>
    </row>
    <row r="43" spans="1:8" ht="16" hidden="1" x14ac:dyDescent="0.2">
      <c r="A43" s="26" t="s">
        <v>53</v>
      </c>
      <c r="B43" s="21">
        <f>(((B36)+(B37))+(B41))+(B42)</f>
        <v>0</v>
      </c>
      <c r="C43" s="21">
        <f>(((C36)+(C37))+(C41))+(C42)</f>
        <v>0</v>
      </c>
      <c r="D43" s="21">
        <f t="shared" si="1"/>
        <v>0</v>
      </c>
      <c r="E43" s="22" t="str">
        <f t="shared" si="0"/>
        <v/>
      </c>
      <c r="F43" s="68"/>
      <c r="H43" s="101" t="str">
        <f t="shared" si="2"/>
        <v/>
      </c>
    </row>
    <row r="44" spans="1:8" ht="16" hidden="1" x14ac:dyDescent="0.2">
      <c r="A44" s="26" t="s">
        <v>54</v>
      </c>
      <c r="B44" s="18"/>
      <c r="C44" s="18"/>
      <c r="D44" s="19">
        <f t="shared" si="1"/>
        <v>0</v>
      </c>
      <c r="E44" s="20" t="str">
        <f t="shared" si="0"/>
        <v/>
      </c>
      <c r="F44" s="68"/>
      <c r="H44" s="101" t="str">
        <f t="shared" si="2"/>
        <v/>
      </c>
    </row>
    <row r="45" spans="1:8" ht="16" hidden="1" x14ac:dyDescent="0.2">
      <c r="A45" s="26" t="s">
        <v>55</v>
      </c>
      <c r="B45" s="18"/>
      <c r="C45" s="18"/>
      <c r="D45" s="19">
        <f t="shared" si="1"/>
        <v>0</v>
      </c>
      <c r="E45" s="20" t="str">
        <f t="shared" si="0"/>
        <v/>
      </c>
      <c r="F45" s="54"/>
      <c r="H45" s="101" t="str">
        <f t="shared" si="2"/>
        <v/>
      </c>
    </row>
    <row r="46" spans="1:8" ht="16" hidden="1" x14ac:dyDescent="0.2">
      <c r="A46" s="26" t="s">
        <v>56</v>
      </c>
      <c r="B46" s="21">
        <f>(B44)+(B45)</f>
        <v>0</v>
      </c>
      <c r="C46" s="21">
        <f>(C44)+(C45)</f>
        <v>0</v>
      </c>
      <c r="D46" s="21">
        <f t="shared" si="1"/>
        <v>0</v>
      </c>
      <c r="E46" s="22" t="str">
        <f t="shared" si="0"/>
        <v/>
      </c>
      <c r="F46" s="69"/>
      <c r="H46" s="101" t="str">
        <f t="shared" si="2"/>
        <v/>
      </c>
    </row>
    <row r="47" spans="1:8" ht="16" hidden="1" x14ac:dyDescent="0.2">
      <c r="A47" s="26" t="s">
        <v>57</v>
      </c>
      <c r="B47" s="21">
        <f>((B35)+(B43))+(B46)</f>
        <v>0</v>
      </c>
      <c r="C47" s="21">
        <f>((C35)+(C43))+(C46)</f>
        <v>0</v>
      </c>
      <c r="D47" s="21">
        <f t="shared" si="1"/>
        <v>0</v>
      </c>
      <c r="E47" s="22" t="str">
        <f t="shared" si="0"/>
        <v/>
      </c>
      <c r="F47" s="69"/>
      <c r="H47" s="101" t="str">
        <f t="shared" si="2"/>
        <v/>
      </c>
    </row>
    <row r="48" spans="1:8" ht="16" x14ac:dyDescent="0.2">
      <c r="A48" s="26" t="s">
        <v>58</v>
      </c>
      <c r="B48" s="21">
        <f>(((B6)+(B25))+(B34))+(B47)</f>
        <v>175985</v>
      </c>
      <c r="C48" s="21">
        <f>(((C6)+(C25))+(C34))+(C47)</f>
        <v>174360</v>
      </c>
      <c r="D48" s="21">
        <f>D34</f>
        <v>175788</v>
      </c>
      <c r="E48" s="22">
        <f>E34</f>
        <v>268260</v>
      </c>
      <c r="F48" s="69">
        <f>F34</f>
        <v>322625</v>
      </c>
      <c r="H48" s="101">
        <f t="shared" si="2"/>
        <v>0.20265786923134274</v>
      </c>
    </row>
    <row r="49" spans="1:8" ht="16" x14ac:dyDescent="0.2">
      <c r="A49" s="26" t="s">
        <v>59</v>
      </c>
      <c r="B49" s="74">
        <f>B48</f>
        <v>175985</v>
      </c>
      <c r="C49" s="74">
        <f>C48</f>
        <v>174360</v>
      </c>
      <c r="D49" s="74">
        <f>D48</f>
        <v>175788</v>
      </c>
      <c r="E49" s="75">
        <f>E48</f>
        <v>268260</v>
      </c>
      <c r="F49" s="69">
        <f>F48</f>
        <v>322625</v>
      </c>
      <c r="H49" s="101">
        <f t="shared" si="2"/>
        <v>0.20265786923134274</v>
      </c>
    </row>
    <row r="50" spans="1:8" ht="16" hidden="1" x14ac:dyDescent="0.2">
      <c r="A50" s="26" t="s">
        <v>60</v>
      </c>
      <c r="B50" s="18"/>
      <c r="C50" s="18"/>
      <c r="D50" s="18"/>
      <c r="E50" s="25"/>
      <c r="F50" s="49"/>
      <c r="H50" s="101" t="str">
        <f t="shared" si="2"/>
        <v/>
      </c>
    </row>
    <row r="51" spans="1:8" ht="16" hidden="1" x14ac:dyDescent="0.2">
      <c r="A51" s="26" t="s">
        <v>61</v>
      </c>
      <c r="B51" s="18"/>
      <c r="C51" s="18"/>
      <c r="D51" s="19">
        <f>(B51)-(C51)</f>
        <v>0</v>
      </c>
      <c r="E51" s="20" t="str">
        <f>IF(C51=0,"",(B51)/(C51))</f>
        <v/>
      </c>
      <c r="F51" s="49"/>
      <c r="H51" s="101" t="str">
        <f t="shared" si="2"/>
        <v/>
      </c>
    </row>
    <row r="52" spans="1:8" ht="16" hidden="1" x14ac:dyDescent="0.2">
      <c r="A52" s="26" t="s">
        <v>62</v>
      </c>
      <c r="B52" s="18"/>
      <c r="C52" s="18"/>
      <c r="D52" s="19">
        <f>(B52)-(C52)</f>
        <v>0</v>
      </c>
      <c r="E52" s="20" t="str">
        <f>IF(C52=0,"",(B52)/(C52))</f>
        <v/>
      </c>
      <c r="F52" s="49"/>
      <c r="H52" s="101" t="str">
        <f t="shared" si="2"/>
        <v/>
      </c>
    </row>
    <row r="53" spans="1:8" ht="16" hidden="1" x14ac:dyDescent="0.2">
      <c r="A53" s="26" t="s">
        <v>63</v>
      </c>
      <c r="B53" s="21">
        <f>(B51)+(B52)</f>
        <v>0</v>
      </c>
      <c r="C53" s="21">
        <f>(C51)+(C52)</f>
        <v>0</v>
      </c>
      <c r="D53" s="21">
        <f>(B53)-(C53)</f>
        <v>0</v>
      </c>
      <c r="E53" s="22" t="str">
        <f>IF(C53=0,"",(B53)/(C53))</f>
        <v/>
      </c>
      <c r="F53" s="54"/>
      <c r="H53" s="101" t="str">
        <f t="shared" si="2"/>
        <v/>
      </c>
    </row>
    <row r="54" spans="1:8" ht="16" hidden="1" x14ac:dyDescent="0.2">
      <c r="A54" s="26" t="s">
        <v>64</v>
      </c>
      <c r="B54" s="21">
        <f>B53</f>
        <v>0</v>
      </c>
      <c r="C54" s="21">
        <f>C53</f>
        <v>0</v>
      </c>
      <c r="D54" s="21">
        <f>(B54)-(C54)</f>
        <v>0</v>
      </c>
      <c r="E54" s="22" t="str">
        <f>IF(C54=0,"",(B54)/(C54))</f>
        <v/>
      </c>
      <c r="F54" s="69"/>
      <c r="H54" s="101" t="str">
        <f t="shared" si="2"/>
        <v/>
      </c>
    </row>
    <row r="55" spans="1:8" ht="16" x14ac:dyDescent="0.2">
      <c r="A55" s="26" t="s">
        <v>65</v>
      </c>
      <c r="B55" s="21">
        <f>(B49)-(B54)</f>
        <v>175985</v>
      </c>
      <c r="C55" s="21">
        <f>(C49)-(C54)</f>
        <v>174360</v>
      </c>
      <c r="D55" s="21">
        <f>D49</f>
        <v>175788</v>
      </c>
      <c r="E55" s="22">
        <f>E49</f>
        <v>268260</v>
      </c>
      <c r="F55" s="49">
        <f>F49</f>
        <v>322625</v>
      </c>
      <c r="H55" s="101">
        <f t="shared" si="2"/>
        <v>0.20265786923134274</v>
      </c>
    </row>
    <row r="56" spans="1:8" ht="16" x14ac:dyDescent="0.2">
      <c r="A56" s="26" t="s">
        <v>66</v>
      </c>
      <c r="B56" s="18"/>
      <c r="C56" s="18"/>
      <c r="D56" s="18"/>
      <c r="E56" s="25"/>
      <c r="H56" s="101" t="str">
        <f t="shared" si="2"/>
        <v/>
      </c>
    </row>
    <row r="57" spans="1:8" ht="16" x14ac:dyDescent="0.2">
      <c r="A57" s="26" t="s">
        <v>67</v>
      </c>
      <c r="B57" s="18"/>
      <c r="C57" s="18"/>
      <c r="D57" s="19"/>
      <c r="E57" s="20" t="str">
        <f>IF(C57=0,"",(B57)/(C57))</f>
        <v/>
      </c>
      <c r="H57" s="101" t="str">
        <f t="shared" si="2"/>
        <v/>
      </c>
    </row>
    <row r="58" spans="1:8" ht="16" x14ac:dyDescent="0.2">
      <c r="A58" s="26" t="s">
        <v>68</v>
      </c>
      <c r="B58" s="19" t="s">
        <v>203</v>
      </c>
      <c r="C58" s="18"/>
      <c r="D58" s="19" t="s">
        <v>203</v>
      </c>
      <c r="E58" s="20" t="str">
        <f>IF(C58=0,"",(B58)/(C58))</f>
        <v/>
      </c>
      <c r="H58" s="101" t="str">
        <f t="shared" si="2"/>
        <v/>
      </c>
    </row>
    <row r="59" spans="1:8" ht="16" x14ac:dyDescent="0.2">
      <c r="A59" s="26" t="s">
        <v>69</v>
      </c>
      <c r="B59" s="19">
        <v>446</v>
      </c>
      <c r="C59" s="19">
        <v>4800</v>
      </c>
      <c r="D59" s="19">
        <v>500</v>
      </c>
      <c r="E59" s="20">
        <v>500</v>
      </c>
      <c r="F59" s="42">
        <v>2000</v>
      </c>
      <c r="H59" s="101">
        <f t="shared" si="2"/>
        <v>3</v>
      </c>
    </row>
    <row r="60" spans="1:8" ht="16" x14ac:dyDescent="0.2">
      <c r="A60" s="26" t="s">
        <v>70</v>
      </c>
      <c r="B60" s="18"/>
      <c r="C60" s="18"/>
      <c r="D60" s="19"/>
      <c r="E60" s="20" t="str">
        <f>IF(C60=0,"",(B60)/(C60))</f>
        <v/>
      </c>
      <c r="H60" s="101" t="str">
        <f t="shared" si="2"/>
        <v/>
      </c>
    </row>
    <row r="61" spans="1:8" ht="16" hidden="1" x14ac:dyDescent="0.2">
      <c r="A61" s="26" t="s">
        <v>204</v>
      </c>
      <c r="B61" s="18"/>
      <c r="C61" s="18"/>
      <c r="D61" s="19">
        <f>(B61)-(C61)</f>
        <v>0</v>
      </c>
      <c r="E61" s="20" t="str">
        <f>IF(C61=0,"",(B61)/(C61))</f>
        <v/>
      </c>
      <c r="H61" s="101" t="str">
        <f t="shared" si="2"/>
        <v/>
      </c>
    </row>
    <row r="62" spans="1:8" ht="16" hidden="1" x14ac:dyDescent="0.2">
      <c r="A62" s="26" t="s">
        <v>72</v>
      </c>
      <c r="B62" s="18"/>
      <c r="C62" s="18"/>
      <c r="D62" s="19">
        <f>(B62)-(C62)</f>
        <v>0</v>
      </c>
      <c r="E62" s="20" t="str">
        <f>IF(C62=0,"",(B62)/(C62))</f>
        <v/>
      </c>
      <c r="H62" s="101" t="str">
        <f t="shared" si="2"/>
        <v/>
      </c>
    </row>
    <row r="63" spans="1:8" ht="16" hidden="1" x14ac:dyDescent="0.2">
      <c r="A63" s="26" t="s">
        <v>73</v>
      </c>
      <c r="B63" s="76">
        <f>B59</f>
        <v>446</v>
      </c>
      <c r="C63" s="76">
        <f>C59</f>
        <v>4800</v>
      </c>
      <c r="D63" s="76">
        <f>D59</f>
        <v>500</v>
      </c>
      <c r="E63" s="76">
        <f>E59</f>
        <v>500</v>
      </c>
      <c r="F63" s="76">
        <f>F59</f>
        <v>2000</v>
      </c>
      <c r="H63" s="101">
        <f t="shared" si="2"/>
        <v>3</v>
      </c>
    </row>
    <row r="64" spans="1:8" ht="16" x14ac:dyDescent="0.2">
      <c r="A64" s="26" t="s">
        <v>74</v>
      </c>
      <c r="B64" s="19">
        <v>1947</v>
      </c>
      <c r="C64" s="19">
        <v>4200</v>
      </c>
      <c r="D64" s="19">
        <v>1300</v>
      </c>
      <c r="E64" s="20">
        <v>6800</v>
      </c>
      <c r="F64" s="42">
        <v>8000</v>
      </c>
      <c r="H64" s="101">
        <f t="shared" si="2"/>
        <v>0.17647058823529413</v>
      </c>
    </row>
    <row r="65" spans="1:8" ht="16" x14ac:dyDescent="0.2">
      <c r="A65" s="26" t="s">
        <v>75</v>
      </c>
      <c r="B65" s="18">
        <v>0</v>
      </c>
      <c r="C65" s="19">
        <v>600</v>
      </c>
      <c r="D65" s="19">
        <v>0</v>
      </c>
      <c r="E65" s="20">
        <v>3681</v>
      </c>
      <c r="F65" s="42">
        <v>0</v>
      </c>
      <c r="H65" s="101" t="str">
        <f t="shared" si="2"/>
        <v/>
      </c>
    </row>
    <row r="66" spans="1:8" ht="16" x14ac:dyDescent="0.2">
      <c r="A66" s="26" t="s">
        <v>76</v>
      </c>
      <c r="B66" s="18" t="s">
        <v>203</v>
      </c>
      <c r="C66" s="18" t="s">
        <v>203</v>
      </c>
      <c r="D66" s="19" t="s">
        <v>203</v>
      </c>
      <c r="E66" s="20" t="s">
        <v>203</v>
      </c>
      <c r="F66" s="42" t="s">
        <v>203</v>
      </c>
    </row>
    <row r="67" spans="1:8" ht="16" x14ac:dyDescent="0.2">
      <c r="A67" s="26" t="s">
        <v>206</v>
      </c>
      <c r="B67" s="19">
        <v>16675</v>
      </c>
      <c r="C67" s="19">
        <f>12855</f>
        <v>12855</v>
      </c>
      <c r="D67" s="19">
        <v>12855</v>
      </c>
      <c r="E67" s="20">
        <v>12855</v>
      </c>
      <c r="F67" s="42">
        <v>28060</v>
      </c>
      <c r="H67" s="101">
        <f t="shared" si="2"/>
        <v>1.1828082458187477</v>
      </c>
    </row>
    <row r="68" spans="1:8" ht="16" x14ac:dyDescent="0.2">
      <c r="A68" s="26" t="s">
        <v>205</v>
      </c>
      <c r="B68" s="18"/>
      <c r="C68" s="18"/>
      <c r="D68" s="19">
        <f>(B68)-(C68)</f>
        <v>0</v>
      </c>
      <c r="E68" s="20" t="str">
        <f>IF(C68=0,"",(B68)/(C68))</f>
        <v/>
      </c>
      <c r="H68" s="101" t="str">
        <f t="shared" si="2"/>
        <v/>
      </c>
    </row>
    <row r="69" spans="1:8" ht="16" x14ac:dyDescent="0.2">
      <c r="A69" s="26" t="s">
        <v>219</v>
      </c>
      <c r="B69" s="21">
        <f>B67</f>
        <v>16675</v>
      </c>
      <c r="C69" s="21">
        <f>C67</f>
        <v>12855</v>
      </c>
      <c r="D69" s="21">
        <f>D67</f>
        <v>12855</v>
      </c>
      <c r="E69" s="21">
        <f>E67</f>
        <v>12855</v>
      </c>
      <c r="F69" s="21">
        <f>F67</f>
        <v>28060</v>
      </c>
      <c r="H69" s="101">
        <f t="shared" si="2"/>
        <v>1.1828082458187477</v>
      </c>
    </row>
    <row r="70" spans="1:8" ht="16" x14ac:dyDescent="0.2">
      <c r="A70" s="27" t="s">
        <v>249</v>
      </c>
      <c r="B70" s="64">
        <f>B63+B64+B65+B69</f>
        <v>19068</v>
      </c>
      <c r="C70" s="64">
        <f>C63+C64+C65+C69</f>
        <v>22455</v>
      </c>
      <c r="D70" s="64">
        <f>D63+D64+D65+D69</f>
        <v>14655</v>
      </c>
      <c r="E70" s="64">
        <f>E63+E64+E65+E69</f>
        <v>23836</v>
      </c>
      <c r="F70" s="64">
        <f>F63+F64+F65+F69</f>
        <v>38060</v>
      </c>
      <c r="H70" s="101">
        <f t="shared" si="2"/>
        <v>0.59674442020473228</v>
      </c>
    </row>
    <row r="71" spans="1:8" ht="16" x14ac:dyDescent="0.2">
      <c r="A71" s="26" t="s">
        <v>82</v>
      </c>
      <c r="B71" s="18"/>
      <c r="C71" s="18"/>
      <c r="D71" s="19"/>
      <c r="E71" s="20" t="str">
        <f>IF(C71=0,"",(B71)/(C71))</f>
        <v/>
      </c>
      <c r="H71" s="101" t="str">
        <f t="shared" si="2"/>
        <v/>
      </c>
    </row>
    <row r="72" spans="1:8" ht="16" x14ac:dyDescent="0.2">
      <c r="A72" s="26" t="s">
        <v>83</v>
      </c>
      <c r="B72" s="18" t="s">
        <v>203</v>
      </c>
      <c r="C72" s="18"/>
      <c r="D72" s="19"/>
      <c r="E72" s="20"/>
      <c r="H72" s="101" t="str">
        <f t="shared" si="2"/>
        <v/>
      </c>
    </row>
    <row r="73" spans="1:8" ht="16" x14ac:dyDescent="0.2">
      <c r="A73" s="26" t="s">
        <v>85</v>
      </c>
      <c r="B73" s="19">
        <v>387</v>
      </c>
      <c r="C73" s="19">
        <v>500</v>
      </c>
      <c r="D73" s="19">
        <v>500</v>
      </c>
      <c r="E73" s="20">
        <v>1000</v>
      </c>
      <c r="F73" s="47">
        <v>1200</v>
      </c>
      <c r="H73" s="101">
        <f t="shared" si="2"/>
        <v>0.2</v>
      </c>
    </row>
    <row r="74" spans="1:8" ht="16" x14ac:dyDescent="0.2">
      <c r="A74" s="26" t="s">
        <v>86</v>
      </c>
      <c r="B74" s="21">
        <f>B73</f>
        <v>387</v>
      </c>
      <c r="C74" s="21">
        <f>C73</f>
        <v>500</v>
      </c>
      <c r="D74" s="21">
        <f>D73</f>
        <v>500</v>
      </c>
      <c r="E74" s="60">
        <f>E73</f>
        <v>1000</v>
      </c>
      <c r="F74" s="58">
        <f>F73</f>
        <v>1200</v>
      </c>
      <c r="H74" s="101">
        <f t="shared" si="2"/>
        <v>0.2</v>
      </c>
    </row>
    <row r="75" spans="1:8" ht="16" x14ac:dyDescent="0.2">
      <c r="A75" s="26" t="s">
        <v>208</v>
      </c>
      <c r="B75" s="18" t="s">
        <v>203</v>
      </c>
      <c r="C75" s="18"/>
      <c r="D75" s="19"/>
      <c r="E75" s="20"/>
      <c r="H75" s="101" t="str">
        <f t="shared" si="2"/>
        <v/>
      </c>
    </row>
    <row r="76" spans="1:8" ht="16" x14ac:dyDescent="0.2">
      <c r="A76" s="26" t="s">
        <v>89</v>
      </c>
      <c r="B76" s="19">
        <v>62</v>
      </c>
      <c r="C76" s="19">
        <v>300</v>
      </c>
      <c r="D76" s="19">
        <v>300</v>
      </c>
      <c r="E76" s="20">
        <v>450</v>
      </c>
      <c r="F76" s="48">
        <v>1000</v>
      </c>
      <c r="H76" s="101">
        <f t="shared" si="2"/>
        <v>1.2222222222222223</v>
      </c>
    </row>
    <row r="77" spans="1:8" ht="16" x14ac:dyDescent="0.2">
      <c r="A77" s="26" t="s">
        <v>209</v>
      </c>
      <c r="B77" s="18"/>
      <c r="C77" s="19">
        <f>1000</f>
        <v>1000</v>
      </c>
      <c r="D77" s="19">
        <v>1000</v>
      </c>
      <c r="E77" s="20">
        <v>1000</v>
      </c>
      <c r="F77" s="47">
        <v>2000</v>
      </c>
      <c r="H77" s="101">
        <f t="shared" si="2"/>
        <v>1</v>
      </c>
    </row>
    <row r="78" spans="1:8" ht="16" x14ac:dyDescent="0.2">
      <c r="A78" s="27" t="s">
        <v>92</v>
      </c>
      <c r="B78" s="44">
        <f>B74+B76+B77</f>
        <v>449</v>
      </c>
      <c r="C78" s="44">
        <f>C74+C76+C77</f>
        <v>1800</v>
      </c>
      <c r="D78" s="44">
        <f>D74+D76+D77</f>
        <v>1800</v>
      </c>
      <c r="E78" s="44">
        <f>E74+E76+E77</f>
        <v>2450</v>
      </c>
      <c r="F78" s="44">
        <f>F74+F76+F77</f>
        <v>4200</v>
      </c>
      <c r="H78" s="101">
        <f t="shared" si="2"/>
        <v>0.7142857142857143</v>
      </c>
    </row>
    <row r="79" spans="1:8" ht="16" x14ac:dyDescent="0.2">
      <c r="A79" s="26" t="s">
        <v>93</v>
      </c>
      <c r="B79" s="19"/>
      <c r="C79" s="18"/>
      <c r="D79" s="19"/>
      <c r="E79" s="20" t="str">
        <f>IF(C79=0,"",(B79)/(C79))</f>
        <v/>
      </c>
      <c r="H79" s="101" t="str">
        <f t="shared" si="2"/>
        <v/>
      </c>
    </row>
    <row r="80" spans="1:8" ht="16" x14ac:dyDescent="0.2">
      <c r="A80" s="26" t="s">
        <v>94</v>
      </c>
      <c r="B80" s="18"/>
      <c r="C80" s="18"/>
      <c r="D80" s="19"/>
      <c r="E80" s="20" t="str">
        <f>IF(C80=0,"",(B80)/(C80))</f>
        <v/>
      </c>
      <c r="H80" s="101" t="str">
        <f t="shared" si="2"/>
        <v/>
      </c>
    </row>
    <row r="81" spans="1:8" ht="16" x14ac:dyDescent="0.2">
      <c r="A81" s="26" t="s">
        <v>95</v>
      </c>
      <c r="B81" s="18"/>
      <c r="C81" s="18"/>
      <c r="D81" s="19"/>
      <c r="E81" s="20" t="str">
        <f>IF(C81=0,"",(B81)/(C81))</f>
        <v/>
      </c>
      <c r="H81" s="101" t="str">
        <f t="shared" si="2"/>
        <v/>
      </c>
    </row>
    <row r="82" spans="1:8" ht="16" x14ac:dyDescent="0.2">
      <c r="A82" s="26" t="s">
        <v>96</v>
      </c>
      <c r="B82" s="19">
        <v>1623</v>
      </c>
      <c r="C82" s="19">
        <v>2450</v>
      </c>
      <c r="D82" s="19">
        <v>1600</v>
      </c>
      <c r="E82" s="20">
        <v>1600</v>
      </c>
      <c r="F82" s="48">
        <v>2500</v>
      </c>
      <c r="H82" s="101">
        <f t="shared" si="2"/>
        <v>0.5625</v>
      </c>
    </row>
    <row r="83" spans="1:8" ht="16" x14ac:dyDescent="0.2">
      <c r="A83" s="26" t="s">
        <v>97</v>
      </c>
      <c r="B83" s="19">
        <v>285</v>
      </c>
      <c r="C83" s="19">
        <v>350</v>
      </c>
      <c r="D83" s="19">
        <v>320</v>
      </c>
      <c r="E83" s="20">
        <v>320</v>
      </c>
      <c r="F83" s="47">
        <v>1000</v>
      </c>
      <c r="H83" s="101">
        <f t="shared" si="2"/>
        <v>2.125</v>
      </c>
    </row>
    <row r="84" spans="1:8" ht="16" x14ac:dyDescent="0.2">
      <c r="A84" s="26" t="s">
        <v>98</v>
      </c>
      <c r="B84" s="21">
        <f>B82+B83</f>
        <v>1908</v>
      </c>
      <c r="C84" s="21">
        <f>C82+C83</f>
        <v>2800</v>
      </c>
      <c r="D84" s="21">
        <f>D82+D83</f>
        <v>1920</v>
      </c>
      <c r="E84" s="60">
        <f>E82+E83</f>
        <v>1920</v>
      </c>
      <c r="F84" s="70">
        <f>F82+F83</f>
        <v>3500</v>
      </c>
      <c r="H84" s="101">
        <f t="shared" si="2"/>
        <v>0.82291666666666663</v>
      </c>
    </row>
    <row r="85" spans="1:8" ht="16" x14ac:dyDescent="0.2">
      <c r="A85" s="26" t="s">
        <v>99</v>
      </c>
      <c r="B85" s="18"/>
      <c r="C85" s="18"/>
      <c r="D85" s="19"/>
      <c r="E85" s="20" t="str">
        <f>IF(C85=0,"",(B85)/(C85))</f>
        <v/>
      </c>
      <c r="H85" s="101" t="str">
        <f t="shared" si="2"/>
        <v/>
      </c>
    </row>
    <row r="86" spans="1:8" ht="16" x14ac:dyDescent="0.2">
      <c r="A86" s="26" t="s">
        <v>100</v>
      </c>
      <c r="B86" s="19">
        <v>3250</v>
      </c>
      <c r="C86" s="19">
        <v>4230</v>
      </c>
      <c r="D86" s="19">
        <v>4357</v>
      </c>
      <c r="E86" s="20">
        <v>6350</v>
      </c>
      <c r="F86" s="42">
        <v>7500</v>
      </c>
      <c r="H86" s="101">
        <f t="shared" si="2"/>
        <v>0.18110236220472442</v>
      </c>
    </row>
    <row r="87" spans="1:8" ht="16" x14ac:dyDescent="0.2">
      <c r="A87" s="71" t="s">
        <v>222</v>
      </c>
      <c r="B87" s="19"/>
      <c r="C87" s="19"/>
      <c r="D87" s="19"/>
      <c r="E87" s="20"/>
      <c r="F87" s="42">
        <v>5000</v>
      </c>
    </row>
    <row r="88" spans="1:8" ht="16" hidden="1" x14ac:dyDescent="0.2">
      <c r="A88" s="26" t="s">
        <v>101</v>
      </c>
      <c r="B88" s="19" t="s">
        <v>203</v>
      </c>
      <c r="C88" s="18"/>
      <c r="D88" s="19" t="s">
        <v>203</v>
      </c>
      <c r="E88" s="20" t="str">
        <f>IF(C88=0,"",(B88)/(C88))</f>
        <v/>
      </c>
      <c r="H88" s="101" t="str">
        <f t="shared" si="2"/>
        <v/>
      </c>
    </row>
    <row r="89" spans="1:8" ht="16" hidden="1" x14ac:dyDescent="0.2">
      <c r="A89" s="26" t="s">
        <v>102</v>
      </c>
      <c r="B89" s="18"/>
      <c r="C89" s="18"/>
      <c r="D89" s="19"/>
      <c r="E89" s="20" t="str">
        <f>IF(C89=0,"",(B89)/(C89))</f>
        <v/>
      </c>
      <c r="H89" s="101" t="str">
        <f t="shared" si="2"/>
        <v/>
      </c>
    </row>
    <row r="90" spans="1:8" ht="16" x14ac:dyDescent="0.2">
      <c r="A90" s="26" t="s">
        <v>103</v>
      </c>
      <c r="B90" s="19"/>
      <c r="C90" s="19"/>
      <c r="D90" s="19"/>
      <c r="E90" s="20">
        <v>15477</v>
      </c>
      <c r="F90" s="42">
        <v>16715</v>
      </c>
      <c r="H90" s="101">
        <f t="shared" si="2"/>
        <v>7.9989662079214319E-2</v>
      </c>
    </row>
    <row r="91" spans="1:8" ht="16" hidden="1" x14ac:dyDescent="0.2">
      <c r="A91" s="26" t="s">
        <v>104</v>
      </c>
      <c r="B91" s="18"/>
      <c r="C91" s="18"/>
      <c r="D91" s="19"/>
      <c r="E91" s="20" t="str">
        <f>IF(C91=0,"",(B91)/(C91))</f>
        <v/>
      </c>
      <c r="H91" s="101" t="str">
        <f t="shared" si="2"/>
        <v/>
      </c>
    </row>
    <row r="92" spans="1:8" ht="16" x14ac:dyDescent="0.2">
      <c r="A92" s="26" t="s">
        <v>105</v>
      </c>
      <c r="B92" s="19">
        <v>30306</v>
      </c>
      <c r="C92" s="19">
        <v>30500</v>
      </c>
      <c r="D92" s="19">
        <v>30500</v>
      </c>
      <c r="E92" s="20">
        <v>30500</v>
      </c>
      <c r="F92" s="42">
        <v>30000</v>
      </c>
      <c r="H92" s="101">
        <f t="shared" si="2"/>
        <v>-1.6393442622950821E-2</v>
      </c>
    </row>
    <row r="93" spans="1:8" ht="16" x14ac:dyDescent="0.2">
      <c r="A93" s="26" t="s">
        <v>106</v>
      </c>
      <c r="B93" s="19">
        <v>5363</v>
      </c>
      <c r="C93" s="19">
        <v>4100</v>
      </c>
      <c r="D93" s="19">
        <v>4100</v>
      </c>
      <c r="E93" s="20">
        <v>3170</v>
      </c>
      <c r="F93" s="42">
        <v>3750</v>
      </c>
      <c r="H93" s="101">
        <f t="shared" ref="H93:H156" si="4">IF(F93,((F93-E93)/E93), "")</f>
        <v>0.18296529968454259</v>
      </c>
    </row>
    <row r="94" spans="1:8" ht="16" hidden="1" x14ac:dyDescent="0.2">
      <c r="A94" s="26" t="s">
        <v>107</v>
      </c>
      <c r="B94" s="18"/>
      <c r="C94" s="18"/>
      <c r="D94" s="19"/>
      <c r="E94" s="20" t="str">
        <f>IF(C94=0,"",(B94)/(C94))</f>
        <v/>
      </c>
      <c r="H94" s="101" t="str">
        <f t="shared" si="4"/>
        <v/>
      </c>
    </row>
    <row r="95" spans="1:8" ht="16" hidden="1" x14ac:dyDescent="0.2">
      <c r="A95" s="26" t="s">
        <v>108</v>
      </c>
      <c r="B95" s="18"/>
      <c r="C95" s="18"/>
      <c r="D95" s="19"/>
      <c r="E95" s="20" t="str">
        <f>IF(C95=0,"",(B95)/(C95))</f>
        <v/>
      </c>
      <c r="H95" s="101" t="str">
        <f t="shared" si="4"/>
        <v/>
      </c>
    </row>
    <row r="96" spans="1:8" ht="16" hidden="1" x14ac:dyDescent="0.2">
      <c r="A96" s="26" t="s">
        <v>109</v>
      </c>
      <c r="B96" s="18"/>
      <c r="C96" s="18"/>
      <c r="D96" s="19"/>
      <c r="E96" s="20" t="str">
        <f>IF(C96=0,"",(B96)/(C96))</f>
        <v/>
      </c>
      <c r="H96" s="101" t="str">
        <f t="shared" si="4"/>
        <v/>
      </c>
    </row>
    <row r="97" spans="1:8" ht="16" x14ac:dyDescent="0.2">
      <c r="A97" s="26" t="s">
        <v>110</v>
      </c>
      <c r="B97" s="21">
        <f>B86+B92+B93</f>
        <v>38919</v>
      </c>
      <c r="C97" s="21">
        <f>C86+C92+C93</f>
        <v>38830</v>
      </c>
      <c r="D97" s="21">
        <f>D86+D92+D93</f>
        <v>38957</v>
      </c>
      <c r="E97" s="21">
        <f>E86+E92+E93</f>
        <v>40020</v>
      </c>
      <c r="F97" s="21">
        <f>F86+F92+F93+F87+F90</f>
        <v>62965</v>
      </c>
      <c r="H97" s="101">
        <f t="shared" si="4"/>
        <v>0.57333833083458274</v>
      </c>
    </row>
    <row r="98" spans="1:8" ht="16" x14ac:dyDescent="0.2">
      <c r="A98" s="26" t="s">
        <v>111</v>
      </c>
      <c r="B98" s="19">
        <v>715</v>
      </c>
      <c r="C98" s="19">
        <v>765</v>
      </c>
      <c r="D98" s="19">
        <v>800</v>
      </c>
      <c r="E98" s="20">
        <v>1100</v>
      </c>
      <c r="F98" s="42">
        <v>1100</v>
      </c>
      <c r="H98" s="101">
        <f t="shared" si="4"/>
        <v>0</v>
      </c>
    </row>
    <row r="99" spans="1:8" ht="16" x14ac:dyDescent="0.2">
      <c r="A99" s="26" t="s">
        <v>112</v>
      </c>
      <c r="B99" s="19">
        <v>3111</v>
      </c>
      <c r="C99" s="19">
        <v>6100</v>
      </c>
      <c r="D99" s="19">
        <v>3700</v>
      </c>
      <c r="E99" s="20">
        <v>6900</v>
      </c>
      <c r="F99" s="42">
        <v>6000</v>
      </c>
      <c r="H99" s="101">
        <f t="shared" si="4"/>
        <v>-0.13043478260869565</v>
      </c>
    </row>
    <row r="100" spans="1:8" ht="16" x14ac:dyDescent="0.2">
      <c r="A100" s="27" t="s">
        <v>113</v>
      </c>
      <c r="B100" s="23">
        <f>B99+B98+B97+B84</f>
        <v>44653</v>
      </c>
      <c r="C100" s="23">
        <f>C99+C98+C97+C84</f>
        <v>48495</v>
      </c>
      <c r="D100" s="23">
        <f>D99+D98+D97+D84</f>
        <v>45377</v>
      </c>
      <c r="E100" s="23">
        <f>E99+E98+E97+E84</f>
        <v>49940</v>
      </c>
      <c r="F100" s="23">
        <f>F99+F98+F97+F84</f>
        <v>73565</v>
      </c>
      <c r="H100" s="101">
        <f t="shared" si="4"/>
        <v>0.47306768121746096</v>
      </c>
    </row>
    <row r="101" spans="1:8" ht="16" x14ac:dyDescent="0.2">
      <c r="A101" s="26" t="s">
        <v>114</v>
      </c>
      <c r="B101" s="19" t="s">
        <v>203</v>
      </c>
      <c r="C101" s="18"/>
      <c r="D101" s="19" t="s">
        <v>203</v>
      </c>
      <c r="E101" s="20" t="str">
        <f>IF(C101=0,"",(B101)/(C101))</f>
        <v/>
      </c>
      <c r="H101" s="101" t="str">
        <f t="shared" si="4"/>
        <v/>
      </c>
    </row>
    <row r="102" spans="1:8" ht="16" x14ac:dyDescent="0.2">
      <c r="A102" s="26" t="s">
        <v>115</v>
      </c>
      <c r="B102" s="18"/>
      <c r="C102" s="18"/>
      <c r="D102" s="19">
        <f>(B102)-(C102)</f>
        <v>0</v>
      </c>
      <c r="E102" s="20" t="str">
        <f>IF(C102=0,"",(B102)/(C102))</f>
        <v/>
      </c>
      <c r="H102" s="101" t="str">
        <f t="shared" si="4"/>
        <v/>
      </c>
    </row>
    <row r="103" spans="1:8" ht="16" x14ac:dyDescent="0.2">
      <c r="A103" s="26" t="s">
        <v>116</v>
      </c>
      <c r="B103" s="18">
        <v>1611</v>
      </c>
      <c r="C103" s="19">
        <v>1470</v>
      </c>
      <c r="D103" s="19">
        <v>2500</v>
      </c>
      <c r="E103" s="20">
        <v>2500</v>
      </c>
      <c r="F103" s="42">
        <v>2500</v>
      </c>
      <c r="H103" s="101">
        <f t="shared" si="4"/>
        <v>0</v>
      </c>
    </row>
    <row r="104" spans="1:8" ht="16" x14ac:dyDescent="0.2">
      <c r="A104" s="26" t="s">
        <v>117</v>
      </c>
      <c r="B104" s="19">
        <v>1546</v>
      </c>
      <c r="C104" s="19">
        <v>1204</v>
      </c>
      <c r="D104" s="19">
        <v>750</v>
      </c>
      <c r="E104" s="20">
        <v>750</v>
      </c>
      <c r="F104" s="42">
        <v>1000</v>
      </c>
      <c r="H104" s="101">
        <f t="shared" si="4"/>
        <v>0.33333333333333331</v>
      </c>
    </row>
    <row r="105" spans="1:8" ht="16" x14ac:dyDescent="0.2">
      <c r="A105" s="27" t="s">
        <v>118</v>
      </c>
      <c r="B105" s="23">
        <f>B103+B104</f>
        <v>3157</v>
      </c>
      <c r="C105" s="23">
        <f>C103+C104</f>
        <v>2674</v>
      </c>
      <c r="D105" s="23">
        <f>D103+D104</f>
        <v>3250</v>
      </c>
      <c r="E105" s="23">
        <f>E103+E104</f>
        <v>3250</v>
      </c>
      <c r="F105" s="23">
        <f>F103+F104</f>
        <v>3500</v>
      </c>
      <c r="H105" s="101">
        <f t="shared" si="4"/>
        <v>7.6923076923076927E-2</v>
      </c>
    </row>
    <row r="106" spans="1:8" ht="16" x14ac:dyDescent="0.2">
      <c r="A106" s="26" t="s">
        <v>119</v>
      </c>
      <c r="B106" s="18"/>
      <c r="C106" s="18"/>
      <c r="D106" s="19"/>
      <c r="E106" s="20" t="str">
        <f>IF(C106=0,"",(B106)/(C106))</f>
        <v/>
      </c>
      <c r="H106" s="101" t="str">
        <f t="shared" si="4"/>
        <v/>
      </c>
    </row>
    <row r="107" spans="1:8" ht="16" x14ac:dyDescent="0.2">
      <c r="A107" s="26" t="s">
        <v>120</v>
      </c>
      <c r="B107" s="19">
        <v>4150</v>
      </c>
      <c r="C107" s="19">
        <v>3600</v>
      </c>
      <c r="D107" s="19">
        <v>4200</v>
      </c>
      <c r="E107" s="20">
        <v>4200</v>
      </c>
      <c r="F107" s="42">
        <v>10000</v>
      </c>
      <c r="H107" s="101">
        <f t="shared" si="4"/>
        <v>1.3809523809523809</v>
      </c>
    </row>
    <row r="108" spans="1:8" ht="16" x14ac:dyDescent="0.2">
      <c r="A108" s="26" t="s">
        <v>255</v>
      </c>
      <c r="B108" s="19"/>
      <c r="C108" s="19"/>
      <c r="D108" s="19"/>
      <c r="E108" s="20"/>
      <c r="F108" s="42">
        <v>45000</v>
      </c>
      <c r="G108" s="41" t="s">
        <v>257</v>
      </c>
    </row>
    <row r="109" spans="1:8" ht="16" x14ac:dyDescent="0.2">
      <c r="A109" s="26" t="s">
        <v>121</v>
      </c>
      <c r="B109" s="18"/>
      <c r="C109" s="18"/>
      <c r="D109" s="19"/>
      <c r="E109" s="20" t="str">
        <f>IF(C109=0,"",(B109)/(C109))</f>
        <v/>
      </c>
      <c r="H109" s="101" t="str">
        <f t="shared" si="4"/>
        <v/>
      </c>
    </row>
    <row r="110" spans="1:8" ht="16" x14ac:dyDescent="0.2">
      <c r="A110" s="27" t="s">
        <v>210</v>
      </c>
      <c r="B110" s="23">
        <f>B107+B108+B109</f>
        <v>4150</v>
      </c>
      <c r="C110" s="23">
        <f>C107+C108+C109</f>
        <v>3600</v>
      </c>
      <c r="D110" s="23">
        <f>D107+D108+D109</f>
        <v>4200</v>
      </c>
      <c r="E110" s="23">
        <f>SUM(E107:E109)</f>
        <v>4200</v>
      </c>
      <c r="F110" s="23">
        <f>F107+F108+F109</f>
        <v>55000</v>
      </c>
      <c r="H110" s="101">
        <f t="shared" si="4"/>
        <v>12.095238095238095</v>
      </c>
    </row>
    <row r="111" spans="1:8" ht="16" x14ac:dyDescent="0.2">
      <c r="A111" s="26" t="s">
        <v>211</v>
      </c>
      <c r="B111" s="32">
        <v>1819</v>
      </c>
      <c r="C111" s="32">
        <v>1200</v>
      </c>
      <c r="D111" s="32">
        <v>1900</v>
      </c>
      <c r="E111" s="32">
        <v>2185</v>
      </c>
      <c r="F111" s="32">
        <v>2500</v>
      </c>
      <c r="H111" s="101">
        <f t="shared" si="4"/>
        <v>0.14416475972540047</v>
      </c>
    </row>
    <row r="112" spans="1:8" ht="16" x14ac:dyDescent="0.2">
      <c r="A112" s="27" t="s">
        <v>212</v>
      </c>
      <c r="B112" s="28">
        <v>1819</v>
      </c>
      <c r="C112" s="28">
        <v>1200</v>
      </c>
      <c r="D112" s="28">
        <v>1900</v>
      </c>
      <c r="E112" s="29">
        <v>2185</v>
      </c>
      <c r="F112" s="44">
        <v>2500</v>
      </c>
      <c r="H112" s="101">
        <f t="shared" si="4"/>
        <v>0.14416475972540047</v>
      </c>
    </row>
    <row r="113" spans="1:8" ht="16" x14ac:dyDescent="0.2">
      <c r="A113" s="26" t="s">
        <v>213</v>
      </c>
      <c r="B113" s="33"/>
      <c r="C113" s="33"/>
      <c r="D113" s="33"/>
      <c r="E113" s="34"/>
      <c r="F113" s="70"/>
      <c r="H113" s="101" t="str">
        <f t="shared" si="4"/>
        <v/>
      </c>
    </row>
    <row r="114" spans="1:8" ht="16" x14ac:dyDescent="0.2">
      <c r="A114" s="26" t="s">
        <v>127</v>
      </c>
      <c r="B114" s="18">
        <v>200</v>
      </c>
      <c r="C114" s="19">
        <v>234</v>
      </c>
      <c r="D114" s="19">
        <v>234</v>
      </c>
      <c r="E114" s="20">
        <v>234</v>
      </c>
      <c r="F114" s="42">
        <v>300</v>
      </c>
      <c r="H114" s="101">
        <f t="shared" si="4"/>
        <v>0.28205128205128205</v>
      </c>
    </row>
    <row r="115" spans="1:8" ht="16" x14ac:dyDescent="0.2">
      <c r="A115" s="26" t="s">
        <v>128</v>
      </c>
      <c r="B115" s="19">
        <v>622</v>
      </c>
      <c r="C115" s="19">
        <v>750</v>
      </c>
      <c r="D115" s="19">
        <v>800</v>
      </c>
      <c r="E115" s="20">
        <v>920</v>
      </c>
      <c r="F115" s="42">
        <v>1000</v>
      </c>
      <c r="H115" s="101">
        <f t="shared" si="4"/>
        <v>8.6956521739130432E-2</v>
      </c>
    </row>
    <row r="116" spans="1:8" ht="16" x14ac:dyDescent="0.2">
      <c r="A116" s="26" t="s">
        <v>129</v>
      </c>
      <c r="B116" s="30">
        <v>384</v>
      </c>
      <c r="C116" s="30">
        <v>250</v>
      </c>
      <c r="D116" s="30">
        <v>275</v>
      </c>
      <c r="E116" s="31">
        <v>300</v>
      </c>
      <c r="F116" s="47">
        <v>800</v>
      </c>
      <c r="H116" s="101">
        <f t="shared" si="4"/>
        <v>1.6666666666666667</v>
      </c>
    </row>
    <row r="117" spans="1:8" ht="16" x14ac:dyDescent="0.2">
      <c r="A117" s="27" t="s">
        <v>214</v>
      </c>
      <c r="B117" s="28">
        <f>B114+B115+B116</f>
        <v>1206</v>
      </c>
      <c r="C117" s="28">
        <f>C114+C115+C116</f>
        <v>1234</v>
      </c>
      <c r="D117" s="28">
        <f>D114+D115+D116</f>
        <v>1309</v>
      </c>
      <c r="E117" s="28">
        <f>E114+E115+E116</f>
        <v>1454</v>
      </c>
      <c r="F117" s="28">
        <f>F114+F115+F116</f>
        <v>2100</v>
      </c>
      <c r="H117" s="101">
        <f t="shared" si="4"/>
        <v>0.44429160935350759</v>
      </c>
    </row>
    <row r="118" spans="1:8" ht="16" x14ac:dyDescent="0.2">
      <c r="A118" s="26" t="s">
        <v>130</v>
      </c>
      <c r="B118" s="19"/>
      <c r="C118" s="18"/>
      <c r="D118" s="19"/>
      <c r="E118" s="20" t="str">
        <f>IF(C118=0,"",(B118)/(C118))</f>
        <v/>
      </c>
      <c r="H118" s="101" t="str">
        <f t="shared" si="4"/>
        <v/>
      </c>
    </row>
    <row r="119" spans="1:8" ht="16" x14ac:dyDescent="0.2">
      <c r="A119" s="26" t="s">
        <v>131</v>
      </c>
      <c r="B119" s="18"/>
      <c r="C119" s="18"/>
      <c r="D119" s="19">
        <f>(B119)-(C119)</f>
        <v>0</v>
      </c>
      <c r="E119" s="20" t="str">
        <f>IF(C119=0,"",(B119)/(C119))</f>
        <v/>
      </c>
      <c r="F119" s="42">
        <v>0</v>
      </c>
      <c r="H119" s="101" t="str">
        <f t="shared" si="4"/>
        <v/>
      </c>
    </row>
    <row r="120" spans="1:8" ht="16" x14ac:dyDescent="0.2">
      <c r="A120" s="26" t="s">
        <v>132</v>
      </c>
      <c r="B120" s="18"/>
      <c r="C120" s="19"/>
      <c r="D120" s="19"/>
      <c r="E120" s="20" t="str">
        <f>IF(C120=0,"",(B120)/(C120))</f>
        <v/>
      </c>
      <c r="H120" s="101" t="str">
        <f t="shared" si="4"/>
        <v/>
      </c>
    </row>
    <row r="121" spans="1:8" ht="16" x14ac:dyDescent="0.2">
      <c r="A121" s="26" t="s">
        <v>133</v>
      </c>
      <c r="B121" s="19">
        <v>73</v>
      </c>
      <c r="C121" s="19">
        <v>204</v>
      </c>
      <c r="D121" s="19">
        <v>200</v>
      </c>
      <c r="E121" s="20">
        <v>200</v>
      </c>
      <c r="F121" s="42">
        <v>500</v>
      </c>
      <c r="H121" s="101">
        <f t="shared" si="4"/>
        <v>1.5</v>
      </c>
    </row>
    <row r="122" spans="1:8" ht="16" x14ac:dyDescent="0.2">
      <c r="A122" s="26" t="s">
        <v>134</v>
      </c>
      <c r="B122" s="18">
        <v>275</v>
      </c>
      <c r="C122" s="19">
        <v>300</v>
      </c>
      <c r="D122" s="19">
        <v>300</v>
      </c>
      <c r="E122" s="20">
        <v>300</v>
      </c>
      <c r="F122" s="42">
        <v>850</v>
      </c>
      <c r="H122" s="101">
        <f t="shared" si="4"/>
        <v>1.8333333333333333</v>
      </c>
    </row>
    <row r="123" spans="1:8" ht="16" hidden="1" x14ac:dyDescent="0.2">
      <c r="A123" s="26" t="s">
        <v>135</v>
      </c>
      <c r="B123" s="18"/>
      <c r="C123" s="18"/>
      <c r="D123" s="19">
        <f>(B123)-(C123)</f>
        <v>0</v>
      </c>
      <c r="E123" s="20" t="str">
        <f>IF(C123=0,"",(B123)/(C123))</f>
        <v/>
      </c>
      <c r="H123" s="101" t="str">
        <f t="shared" si="4"/>
        <v/>
      </c>
    </row>
    <row r="124" spans="1:8" ht="16" hidden="1" x14ac:dyDescent="0.2">
      <c r="A124" s="26" t="s">
        <v>136</v>
      </c>
      <c r="B124" s="18"/>
      <c r="C124" s="18"/>
      <c r="D124" s="19">
        <f>(B124)-(C124)</f>
        <v>0</v>
      </c>
      <c r="E124" s="20" t="str">
        <f>IF(C124=0,"",(B124)/(C124))</f>
        <v/>
      </c>
      <c r="H124" s="101" t="str">
        <f t="shared" si="4"/>
        <v/>
      </c>
    </row>
    <row r="125" spans="1:8" ht="16" x14ac:dyDescent="0.2">
      <c r="A125" s="26" t="s">
        <v>137</v>
      </c>
      <c r="B125" s="19">
        <v>9080</v>
      </c>
      <c r="C125" s="19">
        <v>10250</v>
      </c>
      <c r="D125" s="19">
        <v>27000</v>
      </c>
      <c r="E125" s="20">
        <v>27000</v>
      </c>
      <c r="F125" s="42">
        <v>45000</v>
      </c>
      <c r="H125" s="101">
        <f t="shared" si="4"/>
        <v>0.66666666666666663</v>
      </c>
    </row>
    <row r="126" spans="1:8" ht="16" hidden="1" x14ac:dyDescent="0.2">
      <c r="A126" s="26" t="s">
        <v>138</v>
      </c>
      <c r="B126" s="18"/>
      <c r="C126" s="18"/>
      <c r="D126" s="19">
        <f>(B126)-(C126)</f>
        <v>0</v>
      </c>
      <c r="E126" s="20" t="str">
        <f>IF(C126=0,"",(B126)/(C126))</f>
        <v/>
      </c>
      <c r="H126" s="101" t="str">
        <f t="shared" si="4"/>
        <v/>
      </c>
    </row>
    <row r="127" spans="1:8" ht="16" x14ac:dyDescent="0.2">
      <c r="A127" s="26" t="s">
        <v>139</v>
      </c>
      <c r="B127" s="18"/>
      <c r="C127" s="19">
        <v>1500</v>
      </c>
      <c r="D127" s="19">
        <v>1500</v>
      </c>
      <c r="E127" s="20">
        <v>3500</v>
      </c>
      <c r="F127" s="42">
        <v>2500</v>
      </c>
      <c r="H127" s="101">
        <f t="shared" si="4"/>
        <v>-0.2857142857142857</v>
      </c>
    </row>
    <row r="128" spans="1:8" ht="16" hidden="1" x14ac:dyDescent="0.2">
      <c r="A128" s="26" t="s">
        <v>140</v>
      </c>
      <c r="B128" s="18"/>
      <c r="C128" s="18"/>
      <c r="D128" s="19">
        <f>(B128)-(C128)</f>
        <v>0</v>
      </c>
      <c r="E128" s="20" t="str">
        <f>IF(C128=0,"",(B128)/(C128))</f>
        <v/>
      </c>
      <c r="H128" s="101" t="str">
        <f t="shared" si="4"/>
        <v/>
      </c>
    </row>
    <row r="129" spans="1:8" ht="16" x14ac:dyDescent="0.2">
      <c r="A129" s="78" t="s">
        <v>141</v>
      </c>
      <c r="B129" s="19">
        <v>2418</v>
      </c>
      <c r="C129" s="77">
        <v>5000</v>
      </c>
      <c r="D129" s="30">
        <v>5000</v>
      </c>
      <c r="E129" s="31">
        <v>34000</v>
      </c>
      <c r="F129" s="48">
        <f>34000-29000</f>
        <v>5000</v>
      </c>
      <c r="G129" s="41" t="s">
        <v>253</v>
      </c>
      <c r="H129" s="101">
        <f t="shared" si="4"/>
        <v>-0.8529411764705882</v>
      </c>
    </row>
    <row r="130" spans="1:8" ht="16" x14ac:dyDescent="0.2">
      <c r="A130" s="27" t="s">
        <v>250</v>
      </c>
      <c r="B130" s="80">
        <f>SUM(B121:B129)</f>
        <v>11846</v>
      </c>
      <c r="C130" s="28">
        <f>SUM(C121:C129)</f>
        <v>17254</v>
      </c>
      <c r="D130" s="28">
        <f>SUM(D121:D129)</f>
        <v>34000</v>
      </c>
      <c r="E130" s="28">
        <f>SUM(E121:E129)</f>
        <v>65000</v>
      </c>
      <c r="F130" s="28">
        <f>SUM(F121:F129)</f>
        <v>53850</v>
      </c>
      <c r="H130" s="101">
        <f t="shared" si="4"/>
        <v>-0.17153846153846153</v>
      </c>
    </row>
    <row r="131" spans="1:8" ht="16" x14ac:dyDescent="0.2">
      <c r="A131" s="27" t="s">
        <v>216</v>
      </c>
      <c r="B131" s="28">
        <v>600</v>
      </c>
      <c r="C131" s="81">
        <v>600</v>
      </c>
      <c r="D131" s="28">
        <v>600</v>
      </c>
      <c r="E131" s="29">
        <v>600</v>
      </c>
      <c r="F131" s="44">
        <v>3500</v>
      </c>
      <c r="H131" s="101">
        <f t="shared" si="4"/>
        <v>4.833333333333333</v>
      </c>
    </row>
    <row r="132" spans="1:8" ht="16" x14ac:dyDescent="0.2">
      <c r="A132" s="27" t="s">
        <v>215</v>
      </c>
      <c r="B132" s="28">
        <v>5015</v>
      </c>
      <c r="C132" s="81">
        <v>12600</v>
      </c>
      <c r="D132" s="28">
        <v>17600</v>
      </c>
      <c r="E132" s="29">
        <v>23500</v>
      </c>
      <c r="F132" s="44">
        <v>15000</v>
      </c>
      <c r="G132" s="82"/>
      <c r="H132" s="101">
        <f t="shared" si="4"/>
        <v>-0.36170212765957449</v>
      </c>
    </row>
    <row r="133" spans="1:8" ht="16" x14ac:dyDescent="0.2">
      <c r="A133" s="26" t="s">
        <v>161</v>
      </c>
      <c r="B133" s="18"/>
      <c r="C133" s="18"/>
      <c r="D133" s="19"/>
      <c r="E133" s="20" t="str">
        <f>IF(C133=0,"",(B133)/(C133))</f>
        <v/>
      </c>
      <c r="H133" s="101" t="str">
        <f t="shared" si="4"/>
        <v/>
      </c>
    </row>
    <row r="134" spans="1:8" ht="16" x14ac:dyDescent="0.2">
      <c r="A134" s="26" t="s">
        <v>162</v>
      </c>
      <c r="B134" s="19">
        <v>2937</v>
      </c>
      <c r="C134" s="19">
        <v>2400</v>
      </c>
      <c r="D134" s="19">
        <v>3000</v>
      </c>
      <c r="E134" s="20">
        <v>3900</v>
      </c>
      <c r="F134" s="42">
        <v>5000</v>
      </c>
      <c r="H134" s="101">
        <f t="shared" si="4"/>
        <v>0.28205128205128205</v>
      </c>
    </row>
    <row r="135" spans="1:8" ht="16" x14ac:dyDescent="0.2">
      <c r="A135" s="26" t="s">
        <v>163</v>
      </c>
      <c r="B135" s="19">
        <v>367</v>
      </c>
      <c r="C135" s="18">
        <v>400</v>
      </c>
      <c r="D135" s="19">
        <v>500</v>
      </c>
      <c r="E135" s="20">
        <v>1000</v>
      </c>
      <c r="F135" s="42">
        <v>600</v>
      </c>
      <c r="H135" s="101">
        <f t="shared" si="4"/>
        <v>-0.4</v>
      </c>
    </row>
    <row r="136" spans="1:8" ht="16" x14ac:dyDescent="0.2">
      <c r="A136" s="26" t="s">
        <v>164</v>
      </c>
      <c r="B136" s="19">
        <v>150</v>
      </c>
      <c r="C136" s="19">
        <v>150</v>
      </c>
      <c r="D136" s="19">
        <v>150</v>
      </c>
      <c r="E136" s="20">
        <v>150</v>
      </c>
      <c r="F136" s="42">
        <v>150</v>
      </c>
      <c r="H136" s="101">
        <f t="shared" si="4"/>
        <v>0</v>
      </c>
    </row>
    <row r="137" spans="1:8" ht="16" x14ac:dyDescent="0.2">
      <c r="A137" s="26" t="s">
        <v>165</v>
      </c>
      <c r="B137" s="19" t="s">
        <v>203</v>
      </c>
      <c r="C137" s="19" t="s">
        <v>203</v>
      </c>
      <c r="D137" s="19"/>
      <c r="E137" s="20" t="s">
        <v>203</v>
      </c>
      <c r="H137" s="101" t="str">
        <f t="shared" si="4"/>
        <v/>
      </c>
    </row>
    <row r="138" spans="1:8" ht="16" hidden="1" x14ac:dyDescent="0.2">
      <c r="A138" s="26" t="s">
        <v>166</v>
      </c>
      <c r="B138" s="18"/>
      <c r="C138" s="18"/>
      <c r="D138" s="19">
        <f>(B138)-(C138)</f>
        <v>0</v>
      </c>
      <c r="E138" s="20" t="str">
        <f>IF(C138=0,"",(B138)/(C138))</f>
        <v/>
      </c>
      <c r="H138" s="101" t="str">
        <f t="shared" si="4"/>
        <v/>
      </c>
    </row>
    <row r="139" spans="1:8" ht="16" x14ac:dyDescent="0.2">
      <c r="A139" s="26" t="s">
        <v>167</v>
      </c>
      <c r="B139" s="19">
        <v>654</v>
      </c>
      <c r="C139" s="19">
        <v>900</v>
      </c>
      <c r="D139" s="19">
        <v>800</v>
      </c>
      <c r="E139" s="20">
        <v>800</v>
      </c>
      <c r="F139" s="42">
        <v>900</v>
      </c>
      <c r="H139" s="101">
        <f t="shared" si="4"/>
        <v>0.125</v>
      </c>
    </row>
    <row r="140" spans="1:8" ht="16" x14ac:dyDescent="0.2">
      <c r="A140" s="26" t="s">
        <v>168</v>
      </c>
      <c r="B140" s="19">
        <v>1267</v>
      </c>
      <c r="C140" s="19">
        <v>450</v>
      </c>
      <c r="D140" s="19">
        <v>1200</v>
      </c>
      <c r="E140" s="20">
        <v>1200</v>
      </c>
      <c r="F140" s="42">
        <v>1200</v>
      </c>
      <c r="H140" s="101">
        <f t="shared" si="4"/>
        <v>0</v>
      </c>
    </row>
    <row r="141" spans="1:8" ht="16" x14ac:dyDescent="0.2">
      <c r="A141" s="27" t="s">
        <v>169</v>
      </c>
      <c r="B141" s="23">
        <f>B134+B135+B136+B139+B140</f>
        <v>5375</v>
      </c>
      <c r="C141" s="23">
        <f>C134+C135+C136+C139+C140</f>
        <v>4300</v>
      </c>
      <c r="D141" s="23">
        <f>D134+D135+D136+D139+D140</f>
        <v>5650</v>
      </c>
      <c r="E141" s="23">
        <f>E134+E135+E136+E139+E140</f>
        <v>7050</v>
      </c>
      <c r="F141" s="23">
        <f>F134+F135+F136+F139+F140</f>
        <v>7850</v>
      </c>
      <c r="H141" s="101">
        <f t="shared" si="4"/>
        <v>0.11347517730496454</v>
      </c>
    </row>
    <row r="142" spans="1:8" ht="16" x14ac:dyDescent="0.2">
      <c r="A142" s="26" t="s">
        <v>217</v>
      </c>
      <c r="B142" s="32">
        <v>5371</v>
      </c>
      <c r="C142" s="32">
        <v>5400</v>
      </c>
      <c r="D142" s="32">
        <v>6350</v>
      </c>
      <c r="E142" s="32">
        <v>8300</v>
      </c>
      <c r="F142" s="32">
        <v>8500</v>
      </c>
      <c r="H142" s="101">
        <f t="shared" si="4"/>
        <v>2.4096385542168676E-2</v>
      </c>
    </row>
    <row r="143" spans="1:8" ht="16" x14ac:dyDescent="0.2">
      <c r="A143" s="27" t="s">
        <v>218</v>
      </c>
      <c r="B143" s="28">
        <v>5371</v>
      </c>
      <c r="C143" s="28">
        <v>5400</v>
      </c>
      <c r="D143" s="28">
        <v>6350</v>
      </c>
      <c r="E143" s="29">
        <v>8300</v>
      </c>
      <c r="F143" s="44">
        <v>8500</v>
      </c>
      <c r="G143" s="5" t="s">
        <v>203</v>
      </c>
      <c r="H143" s="101">
        <f t="shared" si="4"/>
        <v>2.4096385542168676E-2</v>
      </c>
    </row>
    <row r="144" spans="1:8" ht="16" x14ac:dyDescent="0.2">
      <c r="A144" s="27" t="s">
        <v>172</v>
      </c>
      <c r="B144" s="23">
        <f>B143+B141+B132+B131+B130+B117+B112+B110+B105+B100+B78+B70</f>
        <v>102709</v>
      </c>
      <c r="C144" s="23">
        <f>C143+C141+C132+C131+C130+C117+C112+C110+C105+C100+C78+C70</f>
        <v>121612</v>
      </c>
      <c r="D144" s="23">
        <f>D143+D141+D132+D131+D130+D117+D112+D110+D105+D100+D78+D70</f>
        <v>136691</v>
      </c>
      <c r="E144" s="23">
        <f>E143+E141+E132+E131+E130+E117+E112+E110+E105+E100+E78+E70</f>
        <v>191765</v>
      </c>
      <c r="F144" s="23">
        <f>F143+F141+F132+F131+F130+F117+F112+F110+F105+F100+F78+F70</f>
        <v>267625</v>
      </c>
      <c r="G144" s="82"/>
      <c r="H144" s="101">
        <f t="shared" si="4"/>
        <v>0.39558835032461609</v>
      </c>
    </row>
    <row r="145" spans="1:8" ht="16" x14ac:dyDescent="0.2">
      <c r="A145" s="26" t="s">
        <v>173</v>
      </c>
      <c r="B145" s="18"/>
      <c r="C145" s="18"/>
      <c r="D145" s="19"/>
      <c r="E145" s="56" t="str">
        <f>IF(C145=0,"",(B145)/(C145))</f>
        <v/>
      </c>
      <c r="F145" s="58"/>
      <c r="H145" s="101" t="str">
        <f t="shared" si="4"/>
        <v/>
      </c>
    </row>
    <row r="146" spans="1:8" ht="16" x14ac:dyDescent="0.2">
      <c r="A146" s="26" t="s">
        <v>174</v>
      </c>
      <c r="B146" s="19">
        <v>5072</v>
      </c>
      <c r="C146" s="19">
        <v>5288</v>
      </c>
      <c r="D146" s="19">
        <v>5499</v>
      </c>
      <c r="E146" s="56">
        <v>5774</v>
      </c>
      <c r="F146" s="58">
        <v>6020</v>
      </c>
      <c r="G146" s="82"/>
      <c r="H146" s="101">
        <f t="shared" si="4"/>
        <v>4.2604780048493246E-2</v>
      </c>
    </row>
    <row r="147" spans="1:8" ht="16" x14ac:dyDescent="0.2">
      <c r="A147" s="26" t="s">
        <v>175</v>
      </c>
      <c r="B147" s="19">
        <v>2589</v>
      </c>
      <c r="C147" s="19">
        <v>2310</v>
      </c>
      <c r="D147" s="19">
        <v>2020</v>
      </c>
      <c r="E147" s="56">
        <v>1717</v>
      </c>
      <c r="F147" s="58">
        <v>699.75</v>
      </c>
      <c r="H147" s="101">
        <f t="shared" si="4"/>
        <v>-0.59245777518928366</v>
      </c>
    </row>
    <row r="148" spans="1:8" ht="16" x14ac:dyDescent="0.2">
      <c r="A148" s="26" t="s">
        <v>176</v>
      </c>
      <c r="B148" s="18"/>
      <c r="C148" s="18"/>
      <c r="D148" s="19">
        <f>(B148)-(C148)</f>
        <v>0</v>
      </c>
      <c r="E148" s="56" t="str">
        <f>IF(C148=0,"",(B148)/(C148))</f>
        <v/>
      </c>
      <c r="F148" s="58"/>
      <c r="H148" s="101" t="str">
        <f t="shared" si="4"/>
        <v/>
      </c>
    </row>
    <row r="149" spans="1:8" ht="16" x14ac:dyDescent="0.2">
      <c r="A149" s="26" t="s">
        <v>177</v>
      </c>
      <c r="B149" s="18"/>
      <c r="C149" s="18"/>
      <c r="D149" s="19">
        <f>(B149)-(C149)</f>
        <v>0</v>
      </c>
      <c r="E149" s="56" t="str">
        <f>IF(C149=0,"",(B149)/(C149))</f>
        <v/>
      </c>
      <c r="F149" s="58"/>
      <c r="H149" s="101" t="str">
        <f t="shared" si="4"/>
        <v/>
      </c>
    </row>
    <row r="150" spans="1:8" ht="16" x14ac:dyDescent="0.2">
      <c r="A150" s="26" t="s">
        <v>178</v>
      </c>
      <c r="B150" s="19">
        <v>4860</v>
      </c>
      <c r="C150" s="19">
        <v>5056</v>
      </c>
      <c r="D150" s="19">
        <v>5157</v>
      </c>
      <c r="E150" s="56">
        <v>5261</v>
      </c>
      <c r="F150" s="58">
        <v>5365.81</v>
      </c>
      <c r="H150" s="101">
        <f t="shared" si="4"/>
        <v>1.9922068047899717E-2</v>
      </c>
    </row>
    <row r="151" spans="1:8" ht="16" x14ac:dyDescent="0.2">
      <c r="A151" s="26" t="s">
        <v>179</v>
      </c>
      <c r="B151" s="19">
        <v>2653</v>
      </c>
      <c r="C151" s="19">
        <v>2457</v>
      </c>
      <c r="D151" s="19">
        <v>2356</v>
      </c>
      <c r="E151" s="56">
        <v>2252</v>
      </c>
      <c r="F151" s="58">
        <v>2147.19</v>
      </c>
      <c r="H151" s="101">
        <f t="shared" si="4"/>
        <v>-4.6540852575488428E-2</v>
      </c>
    </row>
    <row r="152" spans="1:8" ht="16" x14ac:dyDescent="0.2">
      <c r="A152" s="26" t="s">
        <v>180</v>
      </c>
      <c r="B152" s="19">
        <v>10522</v>
      </c>
      <c r="C152" s="19">
        <v>10774</v>
      </c>
      <c r="D152" s="19">
        <v>11069</v>
      </c>
      <c r="E152" s="56">
        <v>11394</v>
      </c>
      <c r="F152" s="58">
        <v>11749.94</v>
      </c>
      <c r="G152" s="72">
        <v>0.3</v>
      </c>
      <c r="H152" s="101">
        <f t="shared" si="4"/>
        <v>3.1239248727400432E-2</v>
      </c>
    </row>
    <row r="153" spans="1:8" ht="16" x14ac:dyDescent="0.2">
      <c r="A153" s="26" t="s">
        <v>181</v>
      </c>
      <c r="B153" s="19">
        <v>7075</v>
      </c>
      <c r="C153" s="19">
        <v>6822</v>
      </c>
      <c r="D153" s="19">
        <v>6528</v>
      </c>
      <c r="E153" s="56">
        <v>6202</v>
      </c>
      <c r="F153" s="58">
        <v>2923.44</v>
      </c>
      <c r="G153" s="72">
        <v>0.3</v>
      </c>
      <c r="H153" s="101">
        <f t="shared" si="4"/>
        <v>-0.5286294743631087</v>
      </c>
    </row>
    <row r="154" spans="1:8" ht="16" hidden="1" x14ac:dyDescent="0.2">
      <c r="A154" s="26" t="s">
        <v>182</v>
      </c>
      <c r="B154" s="18"/>
      <c r="C154" s="18"/>
      <c r="D154" s="19">
        <f>(B154)-(C154)</f>
        <v>0</v>
      </c>
      <c r="E154" s="56" t="str">
        <f>IF(C154=0,"",(B154)/(C154))</f>
        <v/>
      </c>
      <c r="F154" s="58"/>
      <c r="H154" s="101" t="str">
        <f t="shared" si="4"/>
        <v/>
      </c>
    </row>
    <row r="155" spans="1:8" ht="16" hidden="1" x14ac:dyDescent="0.2">
      <c r="A155" s="26" t="s">
        <v>183</v>
      </c>
      <c r="B155" s="18"/>
      <c r="C155" s="18"/>
      <c r="D155" s="19">
        <f>(B155)-(C155)</f>
        <v>0</v>
      </c>
      <c r="E155" s="56" t="str">
        <f>IF(C155=0,"",(B155)/(C155))</f>
        <v/>
      </c>
      <c r="F155" s="58"/>
      <c r="H155" s="101" t="str">
        <f t="shared" si="4"/>
        <v/>
      </c>
    </row>
    <row r="156" spans="1:8" ht="16" hidden="1" x14ac:dyDescent="0.2">
      <c r="A156" s="26" t="s">
        <v>184</v>
      </c>
      <c r="B156" s="18"/>
      <c r="C156" s="18"/>
      <c r="D156" s="19">
        <f>(B156)-(C156)</f>
        <v>0</v>
      </c>
      <c r="E156" s="56" t="str">
        <f>IF(C156=0,"",(B156)/(C156))</f>
        <v/>
      </c>
      <c r="F156" s="58"/>
      <c r="H156" s="101" t="str">
        <f t="shared" si="4"/>
        <v/>
      </c>
    </row>
    <row r="157" spans="1:8" ht="16" hidden="1" x14ac:dyDescent="0.2">
      <c r="A157" s="26" t="s">
        <v>185</v>
      </c>
      <c r="B157" s="18"/>
      <c r="C157" s="18"/>
      <c r="D157" s="19">
        <f>(B157)-(C157)</f>
        <v>0</v>
      </c>
      <c r="E157" s="56" t="str">
        <f>IF(C157=0,"",(B157)/(C157))</f>
        <v/>
      </c>
      <c r="F157" s="58"/>
      <c r="H157" s="101" t="str">
        <f t="shared" ref="H157:H169" si="5">IF(F157,((F157-E157)/E157), "")</f>
        <v/>
      </c>
    </row>
    <row r="158" spans="1:8" ht="16" x14ac:dyDescent="0.2">
      <c r="A158" s="26" t="s">
        <v>251</v>
      </c>
      <c r="B158" s="18"/>
      <c r="C158" s="18"/>
      <c r="D158" s="19"/>
      <c r="E158" s="56"/>
      <c r="F158" s="58">
        <v>20836.16</v>
      </c>
      <c r="G158" s="41" t="s">
        <v>274</v>
      </c>
    </row>
    <row r="159" spans="1:8" ht="16" x14ac:dyDescent="0.2">
      <c r="A159" s="26" t="s">
        <v>252</v>
      </c>
      <c r="B159" s="18"/>
      <c r="C159" s="18"/>
      <c r="D159" s="19"/>
      <c r="E159" s="56"/>
      <c r="F159" s="58">
        <v>2798.32</v>
      </c>
      <c r="G159" s="41" t="s">
        <v>274</v>
      </c>
    </row>
    <row r="160" spans="1:8" ht="16" x14ac:dyDescent="0.2">
      <c r="A160" s="26" t="s">
        <v>186</v>
      </c>
      <c r="B160" s="21">
        <f>B146+B147+B150+B151+B152+B153</f>
        <v>32771</v>
      </c>
      <c r="C160" s="21">
        <f>C146+C147+C150+C151+C152+C153</f>
        <v>32707</v>
      </c>
      <c r="D160" s="21">
        <f>D146+D147+D150+D151+D152+D153</f>
        <v>32629</v>
      </c>
      <c r="E160" s="21">
        <f>E146+E147+E150+E151+E152+E153</f>
        <v>32600</v>
      </c>
      <c r="F160" s="21">
        <f>F146+F147+F150+F151+F152+F153+F158+F159</f>
        <v>52540.61</v>
      </c>
      <c r="H160" s="101">
        <f t="shared" si="5"/>
        <v>0.61167515337423317</v>
      </c>
    </row>
    <row r="161" spans="1:8" ht="16" x14ac:dyDescent="0.2">
      <c r="A161" s="26" t="s">
        <v>187</v>
      </c>
      <c r="B161" s="21">
        <f>B160+B144</f>
        <v>135480</v>
      </c>
      <c r="C161" s="21">
        <f>C160+C144</f>
        <v>154319</v>
      </c>
      <c r="D161" s="21">
        <f>D160+D144</f>
        <v>169320</v>
      </c>
      <c r="E161" s="21">
        <f>E160+E144</f>
        <v>224365</v>
      </c>
      <c r="F161" s="21">
        <f>F160+F144</f>
        <v>320165.61</v>
      </c>
      <c r="G161" s="82"/>
      <c r="H161" s="101">
        <f t="shared" si="5"/>
        <v>0.42698553695986446</v>
      </c>
    </row>
    <row r="162" spans="1:8" ht="16" x14ac:dyDescent="0.2">
      <c r="A162" s="26" t="s">
        <v>188</v>
      </c>
      <c r="B162" s="21">
        <f>B55-B161</f>
        <v>40505</v>
      </c>
      <c r="C162" s="21">
        <f>C55-C161</f>
        <v>20041</v>
      </c>
      <c r="D162" s="21">
        <f>D55-D161</f>
        <v>6468</v>
      </c>
      <c r="E162" s="21">
        <f>E55-E161</f>
        <v>43895</v>
      </c>
      <c r="F162" s="21">
        <f>F55-F161</f>
        <v>2459.390000000014</v>
      </c>
      <c r="H162" s="101">
        <f t="shared" si="5"/>
        <v>-0.94397106731974001</v>
      </c>
    </row>
    <row r="163" spans="1:8" ht="16" x14ac:dyDescent="0.2">
      <c r="A163" s="26" t="s">
        <v>220</v>
      </c>
      <c r="B163" s="18">
        <v>7200</v>
      </c>
      <c r="C163" s="18">
        <v>7200</v>
      </c>
      <c r="D163" s="18">
        <v>7200</v>
      </c>
      <c r="E163" s="25">
        <v>7200</v>
      </c>
      <c r="F163" s="42">
        <v>7200</v>
      </c>
      <c r="H163" s="101">
        <f t="shared" si="5"/>
        <v>0</v>
      </c>
    </row>
    <row r="164" spans="1:8" ht="16" x14ac:dyDescent="0.2">
      <c r="A164" s="26" t="s">
        <v>190</v>
      </c>
      <c r="B164" s="19">
        <f>2893.01</f>
        <v>2893.01</v>
      </c>
      <c r="C164" s="18"/>
      <c r="D164" s="19">
        <f>(B164)-(C164)</f>
        <v>2893.01</v>
      </c>
      <c r="E164" s="20" t="str">
        <f>IF(C164=0,"",(B164)/(C164))</f>
        <v/>
      </c>
      <c r="H164" s="101" t="str">
        <f t="shared" si="5"/>
        <v/>
      </c>
    </row>
    <row r="165" spans="1:8" ht="16" x14ac:dyDescent="0.2">
      <c r="A165" s="26" t="s">
        <v>191</v>
      </c>
      <c r="B165" s="18"/>
      <c r="C165" s="19">
        <f>1070</f>
        <v>1070</v>
      </c>
      <c r="D165" s="19">
        <f>(B165)-(C165)</f>
        <v>-1070</v>
      </c>
      <c r="E165" s="20">
        <f>IF(C165=0,"",(B165)/(C165))</f>
        <v>0</v>
      </c>
      <c r="H165" s="101" t="str">
        <f t="shared" si="5"/>
        <v/>
      </c>
    </row>
    <row r="166" spans="1:8" ht="16" x14ac:dyDescent="0.2">
      <c r="A166" s="26" t="s">
        <v>192</v>
      </c>
      <c r="B166" s="18"/>
      <c r="C166" s="18"/>
      <c r="D166" s="19">
        <f>(B166)-(C166)</f>
        <v>0</v>
      </c>
      <c r="E166" s="20" t="str">
        <f>IF(C166=0,"",(B166)/(C166))</f>
        <v/>
      </c>
      <c r="F166" s="47"/>
      <c r="H166" s="101" t="str">
        <f t="shared" si="5"/>
        <v/>
      </c>
    </row>
    <row r="167" spans="1:8" ht="16" x14ac:dyDescent="0.2">
      <c r="A167" s="26" t="s">
        <v>193</v>
      </c>
      <c r="B167" s="22">
        <f>SUM(B163:B166)</f>
        <v>10093.01</v>
      </c>
      <c r="C167" s="22">
        <f>SUM(C163:C166)</f>
        <v>8270</v>
      </c>
      <c r="D167" s="22">
        <f>SUM(D163:D166)</f>
        <v>9023.01</v>
      </c>
      <c r="E167" s="22">
        <f>SUM(E163:E166)</f>
        <v>7200</v>
      </c>
      <c r="F167" s="54">
        <f>F163</f>
        <v>7200</v>
      </c>
      <c r="H167" s="101">
        <f t="shared" si="5"/>
        <v>0</v>
      </c>
    </row>
    <row r="168" spans="1:8" ht="16" x14ac:dyDescent="0.2">
      <c r="A168" s="26" t="s">
        <v>194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  <c r="H168" s="101" t="str">
        <f t="shared" si="5"/>
        <v/>
      </c>
    </row>
    <row r="169" spans="1:8" ht="16" x14ac:dyDescent="0.2">
      <c r="A169" s="27" t="s">
        <v>221</v>
      </c>
      <c r="B169" s="35">
        <f>B162-B167+B168</f>
        <v>30411.989999999998</v>
      </c>
      <c r="C169" s="35">
        <f>C162-C167+C168</f>
        <v>11771</v>
      </c>
      <c r="D169" s="35">
        <f>D162-D167+D168</f>
        <v>-2555.0100000000002</v>
      </c>
      <c r="E169" s="35">
        <f>E162-E167+E168</f>
        <v>36695</v>
      </c>
      <c r="F169" s="35">
        <f>F162-F167+F168</f>
        <v>-4740.609999999986</v>
      </c>
      <c r="H169" s="101">
        <f t="shared" si="5"/>
        <v>-1.1291895353590404</v>
      </c>
    </row>
  </sheetData>
  <mergeCells count="3">
    <mergeCell ref="A1:E1"/>
    <mergeCell ref="A2:E2"/>
    <mergeCell ref="B3:E3"/>
  </mergeCells>
  <printOptions headings="1" gridLines="1"/>
  <pageMargins left="0.7" right="0.7" top="0.75" bottom="0.75" header="0.3" footer="0.3"/>
  <pageSetup scale="80" orientation="landscape" horizontalDpi="0" verticalDpi="0"/>
  <ignoredErrors>
    <ignoredError sqref="E1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Budget vs. Actuals</vt:lpstr>
      <vt:lpstr>2024 Water Budget</vt:lpstr>
      <vt:lpstr>2024 Sewer Budget</vt:lpstr>
      <vt:lpstr>'2024 Sewer Budget'!Print_Area</vt:lpstr>
      <vt:lpstr>'2024 Water Budget'!Print_Area</vt:lpstr>
      <vt:lpstr>'2024 Sewer Budget'!Print_Titles</vt:lpstr>
      <vt:lpstr>'2024 Water Budget'!Print_Titles</vt:lpstr>
      <vt:lpstr>'Budget vs. Actuals'!Print_Titles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 Tirrell</cp:lastModifiedBy>
  <cp:lastPrinted>2024-01-11T13:16:23Z</cp:lastPrinted>
  <dcterms:created xsi:type="dcterms:W3CDTF">2023-12-13T16:40:47Z</dcterms:created>
  <dcterms:modified xsi:type="dcterms:W3CDTF">2024-01-16T21:12:15Z</dcterms:modified>
</cp:coreProperties>
</file>